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simonnet\Documents\Projets\_JL012 Prosumer\Rapport\etuJL072 etude hardware\"/>
    </mc:Choice>
  </mc:AlternateContent>
  <workbookProtection workbookAlgorithmName="SHA-512" workbookHashValue="Crcn326BOlWB2knP//NKoZQtJ+eD3RkjYaF9uCNhjjoib30wSTUBMVgFBC/uZ4IcOLegMrKVcDuXj+4q4yKiPw==" workbookSaltValue="rEQA6cCzrSOg9K+4bCFOsQ==" workbookSpinCount="100000" lockStructure="1"/>
  <bookViews>
    <workbookView xWindow="0" yWindow="0" windowWidth="29010" windowHeight="10845"/>
  </bookViews>
  <sheets>
    <sheet name="Design_Converter" sheetId="1" r:id="rId1"/>
    <sheet name="Calculations" sheetId="2" state="hidden" r:id="rId2"/>
    <sheet name="Compensation" sheetId="6" state="hidden" r:id="rId3"/>
    <sheet name="Constants" sheetId="4" state="hidden" r:id="rId4"/>
    <sheet name="Lists" sheetId="7" state="hidden" r:id="rId5"/>
    <sheet name="Licenses" sheetId="8" r:id="rId6"/>
  </sheets>
  <definedNames>
    <definedName name="_xlnm._FilterDatabase" localSheetId="3" hidden="1">Constants!$A$1:$E$33</definedName>
    <definedName name="Acs">Constants!$C$5</definedName>
    <definedName name="fco">Calculations!$B$173</definedName>
    <definedName name="Fsw">Calculations!$B$15</definedName>
    <definedName name="gm">Constants!$C$4</definedName>
    <definedName name="I_Channel">Calculations!$B$32</definedName>
    <definedName name="I_Channel_Design">Calculations!$B$25</definedName>
    <definedName name="I_Channel_Peak_No_Ilimit">Calculations!$B$75</definedName>
    <definedName name="I_Channel_Peak_Select">Calculations!$B$77</definedName>
    <definedName name="IL_Comp_Ccomp">Calculations!$B$179*(10^(-9))</definedName>
    <definedName name="IL_Comp_Chf">Calculations!$B$181*(10^-9)</definedName>
    <definedName name="IL_Comp_Rcomp">Calculations!$B$177*1000</definedName>
    <definedName name="ISETA_Max">Constants!$C$46</definedName>
    <definedName name="Kff">Constants!$C$8</definedName>
    <definedName name="Lm">Calculations!$B$43*(10^-6)</definedName>
    <definedName name="Lm_DCR">Design_Converter!$B$39/(1000)</definedName>
    <definedName name="np">Calculations!$B$24</definedName>
    <definedName name="Rcs">Calculations!$B$31/1000</definedName>
    <definedName name="Rs">Calculations!$B$168/1000</definedName>
    <definedName name="V12_Max">Calculations!$B$13</definedName>
    <definedName name="V12_Min">Calculations!$B$11</definedName>
    <definedName name="V12_Nom">Calculations!$B$12</definedName>
    <definedName name="V48_Max">Calculations!$B$9</definedName>
    <definedName name="V48_Min">Calculations!$B$7</definedName>
    <definedName name="V48_Nom">Calculations!$B$8</definedName>
    <definedName name="VCS_Max">50*(10^-3)</definedName>
    <definedName name="Zo_Boost_Cout">Design_Converter!$B$63*(10^(-6))</definedName>
    <definedName name="Zo_Boost_Resr">Design_Converter!$B$64/1000</definedName>
    <definedName name="Zo_Buck_Cout">Design_Converter!$B$60/(10^6)</definedName>
    <definedName name="Zo_Buck_Resr">Design_Converter!$B$61/1000</definedName>
  </definedNames>
  <calcPr calcId="162913"/>
</workbook>
</file>

<file path=xl/calcChain.xml><?xml version="1.0" encoding="utf-8"?>
<calcChain xmlns="http://schemas.openxmlformats.org/spreadsheetml/2006/main">
  <c r="B161" i="2" l="1"/>
  <c r="B160" i="2"/>
  <c r="B162" i="2" s="1"/>
  <c r="B143" i="1" s="1"/>
  <c r="B62" i="6" l="1"/>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A38" i="6"/>
  <c r="A39" i="6"/>
  <c r="A48" i="6" s="1"/>
  <c r="A57" i="6" s="1"/>
  <c r="A40" i="6"/>
  <c r="A41" i="6"/>
  <c r="A42" i="6"/>
  <c r="A43" i="6"/>
  <c r="A52" i="6" s="1"/>
  <c r="A61" i="6" s="1"/>
  <c r="A44" i="6"/>
  <c r="A45" i="6"/>
  <c r="A46" i="6"/>
  <c r="A47" i="6"/>
  <c r="A56" i="6" s="1"/>
  <c r="A49" i="6"/>
  <c r="A50" i="6"/>
  <c r="A51" i="6"/>
  <c r="A60" i="6" s="1"/>
  <c r="A53" i="6"/>
  <c r="A54" i="6"/>
  <c r="A55" i="6"/>
  <c r="A58" i="6"/>
  <c r="A59" i="6"/>
  <c r="A62" i="6"/>
  <c r="A27" i="6"/>
  <c r="A36" i="6" s="1"/>
  <c r="A28" i="6"/>
  <c r="A29" i="6"/>
  <c r="A30" i="6"/>
  <c r="A31" i="6"/>
  <c r="A32" i="6"/>
  <c r="A33" i="6"/>
  <c r="A34" i="6"/>
  <c r="A35" i="6"/>
  <c r="A37" i="6"/>
  <c r="A18" i="6"/>
  <c r="A19" i="6"/>
  <c r="A20" i="6"/>
  <c r="A21" i="6"/>
  <c r="A22" i="6"/>
  <c r="A23" i="6"/>
  <c r="A24" i="6"/>
  <c r="A25" i="6"/>
  <c r="A26" i="6"/>
  <c r="A17" i="6"/>
  <c r="A16" i="6"/>
  <c r="A15" i="6"/>
  <c r="A14" i="6"/>
  <c r="A13" i="6"/>
  <c r="A9" i="6"/>
  <c r="A12" i="6"/>
  <c r="A11" i="6"/>
  <c r="A10" i="6"/>
  <c r="B218" i="2" l="1"/>
  <c r="B132" i="2" l="1"/>
  <c r="B130" i="2"/>
  <c r="B133" i="2" l="1"/>
  <c r="B110" i="1" s="1"/>
  <c r="B134" i="2"/>
  <c r="B131" i="2"/>
  <c r="B108" i="1" s="1"/>
  <c r="B135" i="2" l="1"/>
  <c r="B112" i="1" s="1"/>
  <c r="B88" i="2"/>
  <c r="B100" i="2"/>
  <c r="B97" i="2"/>
  <c r="B95" i="2"/>
  <c r="B92" i="2"/>
  <c r="B94" i="2" s="1"/>
  <c r="B73" i="1" s="1"/>
  <c r="B93" i="2"/>
  <c r="B91" i="2"/>
  <c r="B98" i="2" l="1"/>
  <c r="B77" i="1" s="1"/>
  <c r="B96" i="2"/>
  <c r="B75" i="1" s="1"/>
  <c r="B99" i="2"/>
  <c r="B78" i="1" s="1"/>
  <c r="B101" i="2"/>
  <c r="B80" i="1" s="1"/>
  <c r="B107" i="2"/>
  <c r="B104" i="2"/>
  <c r="B84" i="2" l="1"/>
  <c r="B82" i="2"/>
  <c r="B80" i="2"/>
  <c r="B85" i="2" l="1"/>
  <c r="B54" i="1" s="1"/>
  <c r="B5" i="8"/>
  <c r="C33" i="4"/>
  <c r="C32" i="4"/>
  <c r="C31" i="4"/>
  <c r="C30" i="4"/>
  <c r="C29" i="4"/>
  <c r="C27" i="4"/>
  <c r="C26" i="4"/>
  <c r="C17" i="4"/>
  <c r="C15" i="4"/>
  <c r="C13" i="4"/>
  <c r="C7" i="4"/>
  <c r="C4" i="4"/>
  <c r="C3" i="4"/>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B269" i="2"/>
  <c r="B267" i="2"/>
  <c r="B265" i="2"/>
  <c r="B258" i="2"/>
  <c r="B252" i="2"/>
  <c r="B250" i="2"/>
  <c r="B248" i="2"/>
  <c r="B242" i="2"/>
  <c r="B224" i="6" s="1"/>
  <c r="C224" i="6" s="1"/>
  <c r="B237" i="2"/>
  <c r="B235" i="2"/>
  <c r="B234" i="2"/>
  <c r="B229" i="2"/>
  <c r="B227" i="2"/>
  <c r="B225" i="2"/>
  <c r="B216" i="2"/>
  <c r="B208" i="2"/>
  <c r="B206" i="2"/>
  <c r="B204" i="2"/>
  <c r="B198" i="2"/>
  <c r="B196" i="2"/>
  <c r="B193" i="2"/>
  <c r="B191" i="2"/>
  <c r="B190" i="2"/>
  <c r="B181" i="2"/>
  <c r="B179" i="2"/>
  <c r="B177" i="2"/>
  <c r="B173" i="2"/>
  <c r="B168" i="2"/>
  <c r="B154" i="2"/>
  <c r="B152" i="2"/>
  <c r="B153" i="2" s="1"/>
  <c r="B133" i="1" s="1"/>
  <c r="B151" i="2"/>
  <c r="B145" i="2"/>
  <c r="B141" i="2"/>
  <c r="B139" i="2"/>
  <c r="B123" i="2"/>
  <c r="B121" i="2"/>
  <c r="B120" i="2"/>
  <c r="B119" i="2"/>
  <c r="B117" i="2"/>
  <c r="B116" i="2"/>
  <c r="B115" i="2"/>
  <c r="B78" i="2"/>
  <c r="B213" i="2" s="1"/>
  <c r="B76" i="2"/>
  <c r="B44" i="2"/>
  <c r="B43" i="2"/>
  <c r="B39" i="2"/>
  <c r="B31" i="2"/>
  <c r="B26" i="2"/>
  <c r="B27" i="2" s="1"/>
  <c r="B24" i="2"/>
  <c r="B164" i="2" s="1"/>
  <c r="B22" i="2"/>
  <c r="B15" i="2"/>
  <c r="D15" i="2" s="1"/>
  <c r="B13" i="2"/>
  <c r="D13" i="2" s="1"/>
  <c r="B12" i="2"/>
  <c r="D12" i="2" s="1"/>
  <c r="B11" i="2"/>
  <c r="D11" i="2" s="1"/>
  <c r="B9" i="2"/>
  <c r="D9" i="2" s="1"/>
  <c r="B8" i="2"/>
  <c r="D8" i="2" s="1"/>
  <c r="B7" i="2"/>
  <c r="B165" i="2" l="1"/>
  <c r="B146" i="1" s="1"/>
  <c r="B145" i="1"/>
  <c r="B214" i="2"/>
  <c r="B215" i="2" s="1"/>
  <c r="B140" i="2"/>
  <c r="B119" i="1" s="1"/>
  <c r="D139" i="2"/>
  <c r="O61" i="2"/>
  <c r="D7" i="2"/>
  <c r="B228" i="2"/>
  <c r="B184" i="1" s="1"/>
  <c r="D8" i="6"/>
  <c r="B178" i="2"/>
  <c r="B156" i="1" s="1"/>
  <c r="B134" i="6"/>
  <c r="C134" i="6" s="1"/>
  <c r="U134" i="6" s="1"/>
  <c r="B170" i="2"/>
  <c r="O53" i="2"/>
  <c r="T53" i="2" s="1"/>
  <c r="V53" i="2" s="1"/>
  <c r="W53" i="2" s="1"/>
  <c r="B86" i="2"/>
  <c r="B55" i="1" s="1"/>
  <c r="B79" i="2"/>
  <c r="B83" i="2" s="1"/>
  <c r="B52" i="1" s="1"/>
  <c r="B231" i="2"/>
  <c r="B136" i="6" s="1"/>
  <c r="C136" i="6" s="1"/>
  <c r="O136" i="6" s="1"/>
  <c r="B127" i="2"/>
  <c r="B102" i="1" s="1"/>
  <c r="B230" i="2"/>
  <c r="B135" i="6" s="1"/>
  <c r="C135" i="6" s="1"/>
  <c r="O6" i="2"/>
  <c r="AC6" i="2" s="1"/>
  <c r="B180" i="2"/>
  <c r="B158" i="1" s="1"/>
  <c r="O7" i="2"/>
  <c r="P7" i="2" s="1"/>
  <c r="B118" i="2"/>
  <c r="B93" i="1" s="1"/>
  <c r="O13" i="2"/>
  <c r="AC13" i="2" s="1"/>
  <c r="O43" i="2"/>
  <c r="T43" i="2" s="1"/>
  <c r="V43" i="2" s="1"/>
  <c r="W43" i="2" s="1"/>
  <c r="O17" i="2"/>
  <c r="T17" i="2" s="1"/>
  <c r="V17" i="2" s="1"/>
  <c r="W17" i="2" s="1"/>
  <c r="O8" i="2"/>
  <c r="Y8" i="2" s="1"/>
  <c r="O20" i="2"/>
  <c r="AK20" i="2" s="1"/>
  <c r="O76" i="2"/>
  <c r="O9" i="2"/>
  <c r="AB9" i="2" s="1"/>
  <c r="AD9" i="2" s="1"/>
  <c r="O14" i="2"/>
  <c r="T14" i="2" s="1"/>
  <c r="O21" i="2"/>
  <c r="AK21" i="2" s="1"/>
  <c r="O26" i="2"/>
  <c r="U26" i="2" s="1"/>
  <c r="O10" i="2"/>
  <c r="T10" i="2" s="1"/>
  <c r="V10" i="2" s="1"/>
  <c r="B25" i="2"/>
  <c r="O27" i="2"/>
  <c r="AJ27" i="2" s="1"/>
  <c r="AL27" i="2" s="1"/>
  <c r="AM27" i="2" s="1"/>
  <c r="O55" i="2"/>
  <c r="P55" i="2" s="1"/>
  <c r="B18" i="2"/>
  <c r="D18" i="2" s="1"/>
  <c r="O15" i="2"/>
  <c r="Q15" i="2" s="1"/>
  <c r="O22" i="2"/>
  <c r="T22" i="2" s="1"/>
  <c r="V22" i="2" s="1"/>
  <c r="W22" i="2" s="1"/>
  <c r="O29" i="2"/>
  <c r="AG29" i="2" s="1"/>
  <c r="O11" i="2"/>
  <c r="Y11" i="2" s="1"/>
  <c r="O16" i="2"/>
  <c r="AK16" i="2" s="1"/>
  <c r="O23" i="2"/>
  <c r="U23" i="2" s="1"/>
  <c r="O30" i="2"/>
  <c r="AJ30" i="2" s="1"/>
  <c r="AL30" i="2" s="1"/>
  <c r="AM30" i="2" s="1"/>
  <c r="O12" i="2"/>
  <c r="U12" i="2" s="1"/>
  <c r="O18" i="2"/>
  <c r="Y18" i="2" s="1"/>
  <c r="O24" i="2"/>
  <c r="Y24" i="2" s="1"/>
  <c r="O19" i="2"/>
  <c r="Q19" i="2" s="1"/>
  <c r="O25" i="2"/>
  <c r="Y25" i="2" s="1"/>
  <c r="B182" i="2"/>
  <c r="AB10" i="6" s="1"/>
  <c r="AC10" i="6" s="1"/>
  <c r="AD10" i="6" s="1"/>
  <c r="AE10" i="6" s="1"/>
  <c r="D152" i="2"/>
  <c r="B183" i="2"/>
  <c r="AB11" i="6" s="1"/>
  <c r="AC11" i="6" s="1"/>
  <c r="AD11" i="6" s="1"/>
  <c r="AE11" i="6" s="1"/>
  <c r="AD66" i="2"/>
  <c r="U101" i="6"/>
  <c r="W101" i="6" s="1"/>
  <c r="B52" i="2"/>
  <c r="B53" i="2" s="1"/>
  <c r="O102" i="2"/>
  <c r="B125" i="2"/>
  <c r="B100" i="1" s="1"/>
  <c r="O33" i="2"/>
  <c r="Y33" i="2" s="1"/>
  <c r="B209" i="2"/>
  <c r="O89" i="6"/>
  <c r="P89" i="6" s="1"/>
  <c r="B51" i="2"/>
  <c r="M226" i="6"/>
  <c r="M221" i="6"/>
  <c r="M213" i="6"/>
  <c r="M205" i="6"/>
  <c r="M220" i="6"/>
  <c r="M212" i="6"/>
  <c r="M204" i="6"/>
  <c r="M225" i="6"/>
  <c r="M219" i="6"/>
  <c r="M211" i="6"/>
  <c r="M203" i="6"/>
  <c r="M218" i="6"/>
  <c r="M210" i="6"/>
  <c r="M202" i="6"/>
  <c r="M228" i="6"/>
  <c r="M224" i="6"/>
  <c r="M217" i="6"/>
  <c r="M209" i="6"/>
  <c r="M216" i="6"/>
  <c r="M208" i="6"/>
  <c r="M227" i="6"/>
  <c r="M223" i="6"/>
  <c r="M215" i="6"/>
  <c r="M207" i="6"/>
  <c r="M201" i="6"/>
  <c r="M200" i="6"/>
  <c r="M192" i="6"/>
  <c r="M184" i="6"/>
  <c r="M199" i="6"/>
  <c r="M191" i="6"/>
  <c r="M183" i="6"/>
  <c r="M198" i="6"/>
  <c r="M190" i="6"/>
  <c r="M182" i="6"/>
  <c r="M197" i="6"/>
  <c r="M189" i="6"/>
  <c r="M181" i="6"/>
  <c r="M194" i="6"/>
  <c r="M186" i="6"/>
  <c r="M172" i="6"/>
  <c r="M171" i="6"/>
  <c r="M170" i="6"/>
  <c r="M222" i="6"/>
  <c r="M214" i="6"/>
  <c r="M206" i="6"/>
  <c r="M193" i="6"/>
  <c r="M185" i="6"/>
  <c r="M177" i="6"/>
  <c r="M169" i="6"/>
  <c r="M196" i="6"/>
  <c r="M188" i="6"/>
  <c r="M180" i="6"/>
  <c r="M176" i="6"/>
  <c r="M178" i="6"/>
  <c r="M174" i="6"/>
  <c r="M173" i="6"/>
  <c r="M175" i="6"/>
  <c r="M195" i="6"/>
  <c r="M187" i="6"/>
  <c r="M179" i="6"/>
  <c r="B260" i="2"/>
  <c r="B262" i="2" s="1"/>
  <c r="B266" i="2" s="1"/>
  <c r="B200" i="1" s="1"/>
  <c r="B238" i="2"/>
  <c r="B245" i="2" s="1"/>
  <c r="B259" i="2"/>
  <c r="B49" i="2"/>
  <c r="B50" i="2" s="1"/>
  <c r="B58" i="2"/>
  <c r="B59" i="2" s="1"/>
  <c r="B55" i="2"/>
  <c r="B56" i="2" s="1"/>
  <c r="B61" i="2"/>
  <c r="B62" i="2" s="1"/>
  <c r="AD106" i="2"/>
  <c r="AD102" i="2"/>
  <c r="AD98" i="2"/>
  <c r="AD109" i="2"/>
  <c r="AD105" i="2"/>
  <c r="AD101" i="2"/>
  <c r="AD108" i="2"/>
  <c r="AD104" i="2"/>
  <c r="AD100" i="2"/>
  <c r="AD96" i="2"/>
  <c r="AD99" i="2"/>
  <c r="AD111" i="2"/>
  <c r="AD90" i="2"/>
  <c r="AD74" i="2"/>
  <c r="AD65" i="2"/>
  <c r="AD76" i="2"/>
  <c r="AD68" i="2"/>
  <c r="AD64" i="2"/>
  <c r="B63" i="2"/>
  <c r="AD95" i="2"/>
  <c r="AD94" i="2"/>
  <c r="AD91" i="2"/>
  <c r="AD89" i="2"/>
  <c r="AD85" i="2"/>
  <c r="AD81" i="2"/>
  <c r="AD75" i="2"/>
  <c r="AD103" i="2"/>
  <c r="AD88" i="2"/>
  <c r="AD87" i="2"/>
  <c r="AD86" i="2"/>
  <c r="AD63" i="2"/>
  <c r="AD84" i="2"/>
  <c r="AD83" i="2"/>
  <c r="AD82" i="2"/>
  <c r="AD73" i="2"/>
  <c r="AD92" i="2"/>
  <c r="AD80" i="2"/>
  <c r="AD79" i="2"/>
  <c r="AD72" i="2"/>
  <c r="AD107" i="2"/>
  <c r="AD70" i="2"/>
  <c r="AD77" i="2"/>
  <c r="AD69" i="2"/>
  <c r="B17" i="2"/>
  <c r="D17" i="2" s="1"/>
  <c r="O39" i="2"/>
  <c r="B46" i="2"/>
  <c r="B47" i="2" s="1"/>
  <c r="B48" i="2"/>
  <c r="O52" i="2"/>
  <c r="AD97" i="2"/>
  <c r="D26" i="6"/>
  <c r="M135" i="6"/>
  <c r="M134" i="6"/>
  <c r="M137" i="6"/>
  <c r="M133" i="6"/>
  <c r="M136" i="6"/>
  <c r="M131" i="6"/>
  <c r="M124" i="6"/>
  <c r="M116" i="6"/>
  <c r="M123" i="6"/>
  <c r="M115" i="6"/>
  <c r="M122" i="6"/>
  <c r="M114" i="6"/>
  <c r="M129" i="6"/>
  <c r="M121" i="6"/>
  <c r="M113" i="6"/>
  <c r="M132" i="6"/>
  <c r="M128" i="6"/>
  <c r="M120" i="6"/>
  <c r="M112" i="6"/>
  <c r="M126" i="6"/>
  <c r="M118" i="6"/>
  <c r="M110" i="6"/>
  <c r="M106" i="6"/>
  <c r="M98" i="6"/>
  <c r="M90" i="6"/>
  <c r="M127" i="6"/>
  <c r="M119" i="6"/>
  <c r="M111" i="6"/>
  <c r="M105" i="6"/>
  <c r="M97" i="6"/>
  <c r="M89" i="6"/>
  <c r="M104" i="6"/>
  <c r="M96" i="6"/>
  <c r="M88" i="6"/>
  <c r="M103" i="6"/>
  <c r="M95" i="6"/>
  <c r="M109" i="6"/>
  <c r="M102" i="6"/>
  <c r="M94" i="6"/>
  <c r="M130" i="6"/>
  <c r="M108" i="6"/>
  <c r="M100" i="6"/>
  <c r="M92" i="6"/>
  <c r="M80" i="6"/>
  <c r="M87" i="6"/>
  <c r="M79" i="6"/>
  <c r="M86" i="6"/>
  <c r="M117" i="6"/>
  <c r="M85" i="6"/>
  <c r="M84" i="6"/>
  <c r="M82" i="6"/>
  <c r="M107" i="6"/>
  <c r="M91" i="6"/>
  <c r="O105" i="2"/>
  <c r="O101" i="2"/>
  <c r="M125" i="6"/>
  <c r="O111" i="2"/>
  <c r="M93" i="6"/>
  <c r="M81" i="6"/>
  <c r="O108" i="2"/>
  <c r="O104" i="2"/>
  <c r="O100" i="2"/>
  <c r="O96" i="2"/>
  <c r="M99" i="6"/>
  <c r="O95" i="2"/>
  <c r="O103" i="2"/>
  <c r="O110" i="2"/>
  <c r="O107" i="2"/>
  <c r="O86" i="2"/>
  <c r="O82" i="2"/>
  <c r="O73" i="2"/>
  <c r="O106" i="2"/>
  <c r="O92" i="2"/>
  <c r="O90" i="2"/>
  <c r="O89" i="2"/>
  <c r="O85" i="2"/>
  <c r="O81" i="2"/>
  <c r="O75" i="2"/>
  <c r="B70" i="2"/>
  <c r="O99" i="2"/>
  <c r="O74" i="2"/>
  <c r="B69" i="2"/>
  <c r="O65" i="2"/>
  <c r="O98" i="2"/>
  <c r="O64" i="2"/>
  <c r="O97" i="2"/>
  <c r="O88" i="2"/>
  <c r="O87" i="2"/>
  <c r="O84" i="2"/>
  <c r="O83" i="2"/>
  <c r="O94" i="2"/>
  <c r="O80" i="2"/>
  <c r="O79" i="2"/>
  <c r="O72" i="2"/>
  <c r="O63" i="2"/>
  <c r="O70" i="2"/>
  <c r="M83" i="6"/>
  <c r="O91" i="2"/>
  <c r="O77" i="2"/>
  <c r="O69" i="2"/>
  <c r="O34" i="2"/>
  <c r="O46" i="2"/>
  <c r="O48" i="2"/>
  <c r="O67" i="2"/>
  <c r="O109" i="2"/>
  <c r="M101" i="6"/>
  <c r="D60" i="6"/>
  <c r="D56" i="6"/>
  <c r="D52" i="6"/>
  <c r="D48" i="6"/>
  <c r="D44" i="6"/>
  <c r="D40" i="6"/>
  <c r="D36" i="6"/>
  <c r="G62" i="6"/>
  <c r="G58" i="6"/>
  <c r="G54" i="6"/>
  <c r="G50" i="6"/>
  <c r="G46" i="6"/>
  <c r="G42" i="6"/>
  <c r="G38" i="6"/>
  <c r="G34" i="6"/>
  <c r="D59" i="6"/>
  <c r="D55" i="6"/>
  <c r="D51" i="6"/>
  <c r="D47" i="6"/>
  <c r="D43" i="6"/>
  <c r="D39" i="6"/>
  <c r="D35" i="6"/>
  <c r="G61" i="6"/>
  <c r="G57" i="6"/>
  <c r="G53" i="6"/>
  <c r="G49" i="6"/>
  <c r="G45" i="6"/>
  <c r="G41" i="6"/>
  <c r="G37" i="6"/>
  <c r="D62" i="6"/>
  <c r="D58" i="6"/>
  <c r="D54" i="6"/>
  <c r="D50" i="6"/>
  <c r="D46" i="6"/>
  <c r="D42" i="6"/>
  <c r="D38" i="6"/>
  <c r="D61" i="6"/>
  <c r="D57" i="6"/>
  <c r="D53" i="6"/>
  <c r="D49" i="6"/>
  <c r="D45" i="6"/>
  <c r="D41" i="6"/>
  <c r="D37" i="6"/>
  <c r="G35" i="6"/>
  <c r="G32" i="6"/>
  <c r="G28" i="6"/>
  <c r="G24" i="6"/>
  <c r="G20" i="6"/>
  <c r="G16" i="6"/>
  <c r="G12" i="6"/>
  <c r="D33" i="6"/>
  <c r="D29" i="6"/>
  <c r="D25" i="6"/>
  <c r="D21" i="6"/>
  <c r="D17" i="6"/>
  <c r="D13" i="6"/>
  <c r="D11" i="6"/>
  <c r="G31" i="6"/>
  <c r="G27" i="6"/>
  <c r="G23" i="6"/>
  <c r="G19" i="6"/>
  <c r="G15" i="6"/>
  <c r="G9" i="6"/>
  <c r="G60" i="6"/>
  <c r="G55" i="6"/>
  <c r="G52" i="6"/>
  <c r="G47" i="6"/>
  <c r="G44" i="6"/>
  <c r="G39" i="6"/>
  <c r="G36" i="6"/>
  <c r="D32" i="6"/>
  <c r="D28" i="6"/>
  <c r="D24" i="6"/>
  <c r="D20" i="6"/>
  <c r="D16" i="6"/>
  <c r="D12" i="6"/>
  <c r="G30" i="6"/>
  <c r="G26" i="6"/>
  <c r="G22" i="6"/>
  <c r="G18" i="6"/>
  <c r="G14" i="6"/>
  <c r="G10" i="6"/>
  <c r="G8" i="6"/>
  <c r="G33" i="6"/>
  <c r="G29" i="6"/>
  <c r="G25" i="6"/>
  <c r="G21" i="6"/>
  <c r="G17" i="6"/>
  <c r="G13" i="6"/>
  <c r="G11" i="6"/>
  <c r="B171" i="2"/>
  <c r="G51" i="6"/>
  <c r="G56" i="6"/>
  <c r="G40" i="6"/>
  <c r="D30" i="6"/>
  <c r="D23" i="6"/>
  <c r="D14" i="6"/>
  <c r="D10" i="6"/>
  <c r="D34" i="6"/>
  <c r="D27" i="6"/>
  <c r="D18" i="6"/>
  <c r="O56" i="2"/>
  <c r="G59" i="6"/>
  <c r="D22" i="6"/>
  <c r="O50" i="2"/>
  <c r="O54" i="2"/>
  <c r="D9" i="6"/>
  <c r="O49" i="2"/>
  <c r="O44" i="2"/>
  <c r="G43" i="6"/>
  <c r="D31" i="6"/>
  <c r="D15" i="6"/>
  <c r="G48" i="6"/>
  <c r="D19" i="6"/>
  <c r="O51" i="2"/>
  <c r="O47" i="2"/>
  <c r="O40" i="2"/>
  <c r="AD62" i="2"/>
  <c r="O71" i="2"/>
  <c r="O78" i="2"/>
  <c r="B246" i="2"/>
  <c r="B172" i="2"/>
  <c r="AK15" i="2"/>
  <c r="O31" i="2"/>
  <c r="O35" i="2"/>
  <c r="O41" i="2"/>
  <c r="O42" i="2"/>
  <c r="AD67" i="2"/>
  <c r="AD61" i="2"/>
  <c r="N220" i="6"/>
  <c r="N212" i="6"/>
  <c r="N204" i="6"/>
  <c r="N225" i="6"/>
  <c r="N219" i="6"/>
  <c r="N211" i="6"/>
  <c r="N203" i="6"/>
  <c r="N218" i="6"/>
  <c r="N210" i="6"/>
  <c r="N202" i="6"/>
  <c r="N228" i="6"/>
  <c r="N224" i="6"/>
  <c r="N217" i="6"/>
  <c r="N209" i="6"/>
  <c r="N216" i="6"/>
  <c r="N208" i="6"/>
  <c r="N227" i="6"/>
  <c r="N223" i="6"/>
  <c r="N215" i="6"/>
  <c r="N207" i="6"/>
  <c r="N222" i="6"/>
  <c r="N214" i="6"/>
  <c r="N206" i="6"/>
  <c r="N221" i="6"/>
  <c r="N213" i="6"/>
  <c r="N205" i="6"/>
  <c r="N199" i="6"/>
  <c r="N191" i="6"/>
  <c r="N183" i="6"/>
  <c r="N198" i="6"/>
  <c r="N190" i="6"/>
  <c r="N182" i="6"/>
  <c r="N197" i="6"/>
  <c r="N189" i="6"/>
  <c r="N181" i="6"/>
  <c r="N196" i="6"/>
  <c r="N188" i="6"/>
  <c r="N180" i="6"/>
  <c r="N226" i="6"/>
  <c r="N193" i="6"/>
  <c r="N185" i="6"/>
  <c r="N201" i="6"/>
  <c r="N200" i="6"/>
  <c r="N194" i="6"/>
  <c r="N186" i="6"/>
  <c r="N171" i="6"/>
  <c r="N170" i="6"/>
  <c r="N134" i="6"/>
  <c r="N177" i="6"/>
  <c r="N169" i="6"/>
  <c r="N176" i="6"/>
  <c r="N137" i="6"/>
  <c r="N133" i="6"/>
  <c r="N175" i="6"/>
  <c r="N132" i="6"/>
  <c r="N195" i="6"/>
  <c r="N187" i="6"/>
  <c r="N179" i="6"/>
  <c r="N173" i="6"/>
  <c r="N130" i="6"/>
  <c r="N174" i="6"/>
  <c r="N135" i="6"/>
  <c r="N123" i="6"/>
  <c r="N115" i="6"/>
  <c r="N136" i="6"/>
  <c r="N122" i="6"/>
  <c r="N114" i="6"/>
  <c r="N129" i="6"/>
  <c r="N121" i="6"/>
  <c r="N113" i="6"/>
  <c r="N128" i="6"/>
  <c r="N120" i="6"/>
  <c r="N112" i="6"/>
  <c r="N192" i="6"/>
  <c r="N184" i="6"/>
  <c r="N131" i="6"/>
  <c r="N127" i="6"/>
  <c r="N119" i="6"/>
  <c r="N111" i="6"/>
  <c r="N125" i="6"/>
  <c r="N117" i="6"/>
  <c r="N109" i="6"/>
  <c r="N105" i="6"/>
  <c r="N97" i="6"/>
  <c r="N89" i="6"/>
  <c r="N110" i="6"/>
  <c r="N104" i="6"/>
  <c r="N96" i="6"/>
  <c r="N88" i="6"/>
  <c r="N103" i="6"/>
  <c r="N95" i="6"/>
  <c r="N102" i="6"/>
  <c r="N94" i="6"/>
  <c r="N101" i="6"/>
  <c r="N93" i="6"/>
  <c r="N124" i="6"/>
  <c r="N116" i="6"/>
  <c r="N107" i="6"/>
  <c r="N99" i="6"/>
  <c r="N91" i="6"/>
  <c r="N118" i="6"/>
  <c r="N87" i="6"/>
  <c r="N79" i="6"/>
  <c r="N86" i="6"/>
  <c r="N85" i="6"/>
  <c r="N84" i="6"/>
  <c r="N126" i="6"/>
  <c r="N106" i="6"/>
  <c r="N98" i="6"/>
  <c r="N83" i="6"/>
  <c r="N178" i="6"/>
  <c r="N81" i="6"/>
  <c r="N100" i="6"/>
  <c r="N172" i="6"/>
  <c r="N80" i="6"/>
  <c r="N90" i="6"/>
  <c r="N82" i="6"/>
  <c r="N108" i="6"/>
  <c r="N92" i="6"/>
  <c r="B32" i="2"/>
  <c r="B33" i="2" s="1"/>
  <c r="B35" i="2" s="1"/>
  <c r="O36" i="2"/>
  <c r="AD71" i="2"/>
  <c r="AD78" i="2"/>
  <c r="AD110" i="2"/>
  <c r="O28" i="2"/>
  <c r="O32" i="2"/>
  <c r="O37" i="2"/>
  <c r="O45" i="2"/>
  <c r="B57" i="2"/>
  <c r="O66" i="2"/>
  <c r="O68" i="2"/>
  <c r="O93" i="2"/>
  <c r="B192" i="2"/>
  <c r="B176" i="1" s="1"/>
  <c r="B54" i="2"/>
  <c r="B16" i="2"/>
  <c r="B22" i="1" s="1"/>
  <c r="O38" i="2"/>
  <c r="B60" i="2"/>
  <c r="O62" i="2"/>
  <c r="AD93" i="2"/>
  <c r="B176" i="2"/>
  <c r="B154" i="1" s="1"/>
  <c r="B156" i="2"/>
  <c r="D156" i="2" s="1"/>
  <c r="B155" i="2"/>
  <c r="B122" i="2"/>
  <c r="B97" i="1" s="1"/>
  <c r="B146" i="2"/>
  <c r="B126" i="1" s="1"/>
  <c r="B144" i="2"/>
  <c r="B123" i="1" s="1"/>
  <c r="B143" i="2"/>
  <c r="B122" i="1" s="1"/>
  <c r="B142" i="2"/>
  <c r="D142" i="2" s="1"/>
  <c r="B271" i="2"/>
  <c r="B270" i="2"/>
  <c r="B202" i="2"/>
  <c r="B219" i="2"/>
  <c r="B236" i="2"/>
  <c r="B194" i="1" s="1"/>
  <c r="B124" i="2"/>
  <c r="B99" i="1" s="1"/>
  <c r="O219" i="6"/>
  <c r="O211" i="6"/>
  <c r="O218" i="6"/>
  <c r="O210" i="6"/>
  <c r="O202" i="6"/>
  <c r="O217" i="6"/>
  <c r="O209" i="6"/>
  <c r="O201" i="6"/>
  <c r="O216" i="6"/>
  <c r="O208" i="6"/>
  <c r="O223" i="6"/>
  <c r="O215" i="6"/>
  <c r="O207" i="6"/>
  <c r="O222" i="6"/>
  <c r="O214" i="6"/>
  <c r="O206" i="6"/>
  <c r="O221" i="6"/>
  <c r="O213" i="6"/>
  <c r="O205" i="6"/>
  <c r="O198" i="6"/>
  <c r="O190" i="6"/>
  <c r="O182" i="6"/>
  <c r="O197" i="6"/>
  <c r="O189" i="6"/>
  <c r="O181" i="6"/>
  <c r="O196" i="6"/>
  <c r="O188" i="6"/>
  <c r="O180" i="6"/>
  <c r="O203" i="6"/>
  <c r="O195" i="6"/>
  <c r="O187" i="6"/>
  <c r="O179" i="6"/>
  <c r="O200" i="6"/>
  <c r="O192" i="6"/>
  <c r="O184" i="6"/>
  <c r="O199" i="6"/>
  <c r="O170" i="6"/>
  <c r="O177" i="6"/>
  <c r="O169" i="6"/>
  <c r="O193" i="6"/>
  <c r="O185" i="6"/>
  <c r="O176" i="6"/>
  <c r="O133" i="6"/>
  <c r="O175" i="6"/>
  <c r="O132" i="6"/>
  <c r="O178" i="6"/>
  <c r="O174" i="6"/>
  <c r="O172" i="6"/>
  <c r="O191" i="6"/>
  <c r="O183" i="6"/>
  <c r="O122" i="6"/>
  <c r="O114" i="6"/>
  <c r="O129" i="6"/>
  <c r="O121" i="6"/>
  <c r="O113" i="6"/>
  <c r="O220" i="6"/>
  <c r="O128" i="6"/>
  <c r="O120" i="6"/>
  <c r="O112" i="6"/>
  <c r="O131" i="6"/>
  <c r="O127" i="6"/>
  <c r="O119" i="6"/>
  <c r="O111" i="6"/>
  <c r="O212" i="6"/>
  <c r="O126" i="6"/>
  <c r="O118" i="6"/>
  <c r="O204" i="6"/>
  <c r="O171" i="6"/>
  <c r="O130" i="6"/>
  <c r="O124" i="6"/>
  <c r="O116" i="6"/>
  <c r="O110" i="6"/>
  <c r="O104" i="6"/>
  <c r="O96" i="6"/>
  <c r="O88" i="6"/>
  <c r="O103" i="6"/>
  <c r="O95" i="6"/>
  <c r="O173" i="6"/>
  <c r="O102" i="6"/>
  <c r="O94" i="6"/>
  <c r="O186" i="6"/>
  <c r="O109" i="6"/>
  <c r="O101" i="6"/>
  <c r="O93" i="6"/>
  <c r="O108" i="6"/>
  <c r="O100" i="6"/>
  <c r="O92" i="6"/>
  <c r="O125" i="6"/>
  <c r="O117" i="6"/>
  <c r="O106" i="6"/>
  <c r="O98" i="6"/>
  <c r="O90" i="6"/>
  <c r="O115" i="6"/>
  <c r="O86" i="6"/>
  <c r="O85" i="6"/>
  <c r="O84" i="6"/>
  <c r="O105" i="6"/>
  <c r="O97" i="6"/>
  <c r="O83" i="6"/>
  <c r="O194" i="6"/>
  <c r="O123" i="6"/>
  <c r="O107" i="6"/>
  <c r="O99" i="6"/>
  <c r="O91" i="6"/>
  <c r="O82" i="6"/>
  <c r="O80" i="6"/>
  <c r="B210" i="2"/>
  <c r="U221" i="6"/>
  <c r="U213" i="6"/>
  <c r="U205" i="6"/>
  <c r="U220" i="6"/>
  <c r="U212" i="6"/>
  <c r="U204" i="6"/>
  <c r="U219" i="6"/>
  <c r="U211" i="6"/>
  <c r="U203" i="6"/>
  <c r="U218" i="6"/>
  <c r="U210" i="6"/>
  <c r="U202" i="6"/>
  <c r="U217" i="6"/>
  <c r="U209" i="6"/>
  <c r="U216" i="6"/>
  <c r="U208" i="6"/>
  <c r="U223" i="6"/>
  <c r="U215" i="6"/>
  <c r="U207" i="6"/>
  <c r="U200" i="6"/>
  <c r="U192" i="6"/>
  <c r="U184" i="6"/>
  <c r="U199" i="6"/>
  <c r="U191" i="6"/>
  <c r="U183" i="6"/>
  <c r="U198" i="6"/>
  <c r="U190" i="6"/>
  <c r="U182" i="6"/>
  <c r="U222" i="6"/>
  <c r="U214" i="6"/>
  <c r="U206" i="6"/>
  <c r="U201" i="6"/>
  <c r="U197" i="6"/>
  <c r="U189" i="6"/>
  <c r="U181" i="6"/>
  <c r="U194" i="6"/>
  <c r="U186" i="6"/>
  <c r="U193" i="6"/>
  <c r="U185" i="6"/>
  <c r="U172" i="6"/>
  <c r="U196" i="6"/>
  <c r="U188" i="6"/>
  <c r="U180" i="6"/>
  <c r="U178" i="6"/>
  <c r="U171" i="6"/>
  <c r="U170" i="6"/>
  <c r="U177" i="6"/>
  <c r="U169" i="6"/>
  <c r="U195" i="6"/>
  <c r="U187" i="6"/>
  <c r="U179" i="6"/>
  <c r="U176" i="6"/>
  <c r="U174" i="6"/>
  <c r="U175" i="6"/>
  <c r="U173" i="6"/>
  <c r="U133" i="6"/>
  <c r="U131" i="6"/>
  <c r="U124" i="6"/>
  <c r="U116" i="6"/>
  <c r="U108" i="6"/>
  <c r="U123" i="6"/>
  <c r="U115" i="6"/>
  <c r="U132" i="6"/>
  <c r="U122" i="6"/>
  <c r="U114" i="6"/>
  <c r="U129" i="6"/>
  <c r="U121" i="6"/>
  <c r="U113" i="6"/>
  <c r="U130" i="6"/>
  <c r="U128" i="6"/>
  <c r="U120" i="6"/>
  <c r="U112" i="6"/>
  <c r="U126" i="6"/>
  <c r="U118" i="6"/>
  <c r="U110" i="6"/>
  <c r="U106" i="6"/>
  <c r="U98" i="6"/>
  <c r="U90" i="6"/>
  <c r="U109" i="6"/>
  <c r="U105" i="6"/>
  <c r="U97" i="6"/>
  <c r="U89" i="6"/>
  <c r="U104" i="6"/>
  <c r="U96" i="6"/>
  <c r="U88" i="6"/>
  <c r="U103" i="6"/>
  <c r="U95" i="6"/>
  <c r="U102" i="6"/>
  <c r="U94" i="6"/>
  <c r="U100" i="6"/>
  <c r="U92" i="6"/>
  <c r="U80" i="6"/>
  <c r="U127" i="6"/>
  <c r="U111" i="6"/>
  <c r="U87" i="6"/>
  <c r="U79" i="6"/>
  <c r="U117" i="6"/>
  <c r="U86" i="6"/>
  <c r="U107" i="6"/>
  <c r="U99" i="6"/>
  <c r="U91" i="6"/>
  <c r="U85" i="6"/>
  <c r="U84" i="6"/>
  <c r="U125" i="6"/>
  <c r="U82" i="6"/>
  <c r="O224" i="6"/>
  <c r="U224" i="6"/>
  <c r="U83" i="6"/>
  <c r="U119" i="6"/>
  <c r="B175" i="2"/>
  <c r="B197" i="2"/>
  <c r="B178" i="1" s="1"/>
  <c r="O81" i="6"/>
  <c r="U93" i="6"/>
  <c r="B253" i="2"/>
  <c r="O79" i="6"/>
  <c r="U81" i="6"/>
  <c r="O87" i="6"/>
  <c r="B254" i="2"/>
  <c r="O134" i="6" l="1"/>
  <c r="P134" i="6" s="1"/>
  <c r="B135" i="1"/>
  <c r="D155" i="2"/>
  <c r="B136" i="1"/>
  <c r="U136" i="6"/>
  <c r="W136" i="6" s="1"/>
  <c r="B40" i="2"/>
  <c r="B42" i="2" s="1"/>
  <c r="B37" i="1" s="1"/>
  <c r="B166" i="1"/>
  <c r="B220" i="2"/>
  <c r="B222" i="2" s="1"/>
  <c r="X23" i="2"/>
  <c r="Z23" i="2" s="1"/>
  <c r="AA23" i="2" s="1"/>
  <c r="U15" i="2"/>
  <c r="B152" i="1"/>
  <c r="Y27" i="2"/>
  <c r="Q27" i="2"/>
  <c r="P23" i="2"/>
  <c r="R23" i="2" s="1"/>
  <c r="S23" i="2" s="1"/>
  <c r="AG23" i="2"/>
  <c r="AG27" i="2"/>
  <c r="Y23" i="2"/>
  <c r="AF27" i="2"/>
  <c r="AH27" i="2" s="1"/>
  <c r="AI27" i="2" s="1"/>
  <c r="Q23" i="2"/>
  <c r="X27" i="2"/>
  <c r="Z27" i="2" s="1"/>
  <c r="AA27" i="2" s="1"/>
  <c r="P27" i="2"/>
  <c r="R27" i="2" s="1"/>
  <c r="S27" i="2" s="1"/>
  <c r="AF23" i="2"/>
  <c r="AH23" i="2" s="1"/>
  <c r="AI23" i="2" s="1"/>
  <c r="P15" i="2"/>
  <c r="R15" i="2" s="1"/>
  <c r="S15" i="2" s="1"/>
  <c r="AB18" i="2"/>
  <c r="AD18" i="2" s="1"/>
  <c r="AE18" i="2" s="1"/>
  <c r="AK18" i="2"/>
  <c r="AC18" i="2"/>
  <c r="U53" i="2"/>
  <c r="AC53" i="2"/>
  <c r="U27" i="2"/>
  <c r="AB27" i="2"/>
  <c r="AD27" i="2" s="1"/>
  <c r="AE27" i="2" s="1"/>
  <c r="T27" i="2"/>
  <c r="V27" i="2" s="1"/>
  <c r="W27" i="2" s="1"/>
  <c r="AF18" i="2"/>
  <c r="AH18" i="2" s="1"/>
  <c r="AI18" i="2" s="1"/>
  <c r="AF6" i="2"/>
  <c r="X6" i="2"/>
  <c r="Z6" i="2" s="1"/>
  <c r="P6" i="2"/>
  <c r="R6" i="2" s="1"/>
  <c r="Y17" i="2"/>
  <c r="Q17" i="2"/>
  <c r="T6" i="2"/>
  <c r="AB20" i="2"/>
  <c r="AD20" i="2" s="1"/>
  <c r="AE20" i="2" s="1"/>
  <c r="AC20" i="2"/>
  <c r="AJ17" i="2"/>
  <c r="AL17" i="2" s="1"/>
  <c r="AC17" i="2"/>
  <c r="U17" i="2"/>
  <c r="AJ20" i="2"/>
  <c r="AL20" i="2" s="1"/>
  <c r="AM20" i="2" s="1"/>
  <c r="P20" i="2"/>
  <c r="R20" i="2" s="1"/>
  <c r="S20" i="2" s="1"/>
  <c r="AF20" i="2"/>
  <c r="AH20" i="2" s="1"/>
  <c r="AI20" i="2" s="1"/>
  <c r="AB6" i="2"/>
  <c r="T26" i="2"/>
  <c r="V26" i="2" s="1"/>
  <c r="W26" i="2" s="1"/>
  <c r="Y20" i="2"/>
  <c r="Y6" i="2"/>
  <c r="AG20" i="2"/>
  <c r="U6" i="2"/>
  <c r="T20" i="2"/>
  <c r="V20" i="2" s="1"/>
  <c r="W20" i="2" s="1"/>
  <c r="AK6" i="2"/>
  <c r="AG26" i="2"/>
  <c r="Y26" i="2"/>
  <c r="Q26" i="2"/>
  <c r="AF26" i="2"/>
  <c r="AH26" i="2" s="1"/>
  <c r="AI26" i="2" s="1"/>
  <c r="AB26" i="2"/>
  <c r="AD26" i="2" s="1"/>
  <c r="AE26" i="2" s="1"/>
  <c r="P26" i="2"/>
  <c r="R26" i="2" s="1"/>
  <c r="S26" i="2" s="1"/>
  <c r="X26" i="2"/>
  <c r="Z26" i="2" s="1"/>
  <c r="AA26" i="2" s="1"/>
  <c r="P29" i="2"/>
  <c r="R29" i="2" s="1"/>
  <c r="S29" i="2" s="1"/>
  <c r="Q29" i="2"/>
  <c r="Y29" i="2"/>
  <c r="AB29" i="2"/>
  <c r="AD29" i="2" s="1"/>
  <c r="AE29" i="2" s="1"/>
  <c r="U29" i="2"/>
  <c r="AJ29" i="2"/>
  <c r="AL29" i="2" s="1"/>
  <c r="AM29" i="2" s="1"/>
  <c r="X20" i="2"/>
  <c r="Z20" i="2" s="1"/>
  <c r="AA20" i="2" s="1"/>
  <c r="U20" i="2"/>
  <c r="AK29" i="2"/>
  <c r="Q6" i="2"/>
  <c r="AG6" i="2"/>
  <c r="Q20" i="2"/>
  <c r="AJ6" i="2"/>
  <c r="AL6" i="2" s="1"/>
  <c r="AF29" i="2"/>
  <c r="AH29" i="2" s="1"/>
  <c r="AI29" i="2" s="1"/>
  <c r="AC26" i="2"/>
  <c r="AJ53" i="2"/>
  <c r="AL53" i="2" s="1"/>
  <c r="AM53" i="2" s="1"/>
  <c r="AK53" i="2"/>
  <c r="Y53" i="2"/>
  <c r="P53" i="2"/>
  <c r="R53" i="2" s="1"/>
  <c r="S53" i="2" s="1"/>
  <c r="AG53" i="2"/>
  <c r="X53" i="2"/>
  <c r="Z53" i="2" s="1"/>
  <c r="AA53" i="2" s="1"/>
  <c r="Q53" i="2"/>
  <c r="AF53" i="2"/>
  <c r="AH53" i="2" s="1"/>
  <c r="AI53" i="2" s="1"/>
  <c r="AB53" i="2"/>
  <c r="AD53" i="2" s="1"/>
  <c r="AE53" i="2" s="1"/>
  <c r="X15" i="2"/>
  <c r="Z15" i="2" s="1"/>
  <c r="AG17" i="2"/>
  <c r="AC15" i="2"/>
  <c r="AK17" i="2"/>
  <c r="U18" i="2"/>
  <c r="AG15" i="2"/>
  <c r="AG14" i="2"/>
  <c r="AF17" i="2"/>
  <c r="AH17" i="2" s="1"/>
  <c r="AI17" i="2" s="1"/>
  <c r="AF14" i="2"/>
  <c r="AK14" i="2"/>
  <c r="T15" i="2"/>
  <c r="V15" i="2" s="1"/>
  <c r="AB17" i="2"/>
  <c r="AD17" i="2" s="1"/>
  <c r="AE17" i="2" s="1"/>
  <c r="X18" i="2"/>
  <c r="Z18" i="2" s="1"/>
  <c r="AA18" i="2" s="1"/>
  <c r="Y14" i="2"/>
  <c r="X17" i="2"/>
  <c r="Z17" i="2" s="1"/>
  <c r="X14" i="2"/>
  <c r="Z14" i="2" s="1"/>
  <c r="AC14" i="2"/>
  <c r="AB15" i="2"/>
  <c r="AD15" i="2" s="1"/>
  <c r="AE15" i="2" s="1"/>
  <c r="P18" i="2"/>
  <c r="R18" i="2" s="1"/>
  <c r="S18" i="2" s="1"/>
  <c r="Q14" i="2"/>
  <c r="P17" i="2"/>
  <c r="R17" i="2" s="1"/>
  <c r="S17" i="2" s="1"/>
  <c r="P14" i="2"/>
  <c r="R14" i="2" s="1"/>
  <c r="S14" i="2" s="1"/>
  <c r="U14" i="2"/>
  <c r="AJ15" i="2"/>
  <c r="AL15" i="2" s="1"/>
  <c r="Q18" i="2"/>
  <c r="AF15" i="2"/>
  <c r="U21" i="2"/>
  <c r="B186" i="1"/>
  <c r="AB8" i="2"/>
  <c r="AD8" i="2" s="1"/>
  <c r="Y15" i="2"/>
  <c r="B48" i="1"/>
  <c r="B81" i="2"/>
  <c r="B50" i="1" s="1"/>
  <c r="T18" i="2"/>
  <c r="V18" i="2" s="1"/>
  <c r="W18" i="2" s="1"/>
  <c r="AG18" i="2"/>
  <c r="B187" i="1"/>
  <c r="AJ14" i="2"/>
  <c r="AL14" i="2" s="1"/>
  <c r="AB14" i="2"/>
  <c r="AD14" i="2" s="1"/>
  <c r="AE14" i="2" s="1"/>
  <c r="AC27" i="2"/>
  <c r="U135" i="6"/>
  <c r="W135" i="6" s="1"/>
  <c r="O135" i="6"/>
  <c r="Q135" i="6" s="1"/>
  <c r="D113" i="6"/>
  <c r="G113" i="6" s="1"/>
  <c r="H113" i="6" s="1"/>
  <c r="D129" i="6"/>
  <c r="J129" i="6" s="1"/>
  <c r="L129" i="6" s="1"/>
  <c r="D110" i="6"/>
  <c r="G110" i="6" s="1"/>
  <c r="D101" i="6"/>
  <c r="G101" i="6" s="1"/>
  <c r="I101" i="6" s="1"/>
  <c r="D96" i="6"/>
  <c r="G96" i="6" s="1"/>
  <c r="H96" i="6" s="1"/>
  <c r="AJ23" i="2"/>
  <c r="AL23" i="2" s="1"/>
  <c r="AM23" i="2" s="1"/>
  <c r="AK27" i="2"/>
  <c r="AB23" i="2"/>
  <c r="AD23" i="2" s="1"/>
  <c r="AE23" i="2" s="1"/>
  <c r="T23" i="2"/>
  <c r="V23" i="2" s="1"/>
  <c r="W23" i="2" s="1"/>
  <c r="AC23" i="2"/>
  <c r="AK23" i="2"/>
  <c r="D82" i="6"/>
  <c r="J82" i="6" s="1"/>
  <c r="D133" i="6"/>
  <c r="J133" i="6" s="1"/>
  <c r="L133" i="6" s="1"/>
  <c r="D121" i="6"/>
  <c r="J121" i="6" s="1"/>
  <c r="D84" i="6"/>
  <c r="G84" i="6" s="1"/>
  <c r="I84" i="6" s="1"/>
  <c r="D104" i="6"/>
  <c r="J104" i="6" s="1"/>
  <c r="K104" i="6" s="1"/>
  <c r="D123" i="6"/>
  <c r="G123" i="6" s="1"/>
  <c r="H123" i="6" s="1"/>
  <c r="D94" i="6"/>
  <c r="J94" i="6" s="1"/>
  <c r="L94" i="6" s="1"/>
  <c r="D89" i="6"/>
  <c r="J89" i="6" s="1"/>
  <c r="D116" i="6"/>
  <c r="G116" i="6" s="1"/>
  <c r="I116" i="6" s="1"/>
  <c r="D102" i="6"/>
  <c r="J102" i="6" s="1"/>
  <c r="K102" i="6" s="1"/>
  <c r="D98" i="6"/>
  <c r="J98" i="6" s="1"/>
  <c r="L98" i="6" s="1"/>
  <c r="D124" i="6"/>
  <c r="J124" i="6" s="1"/>
  <c r="L124" i="6" s="1"/>
  <c r="D80" i="6"/>
  <c r="J80" i="6" s="1"/>
  <c r="L80" i="6" s="1"/>
  <c r="D106" i="6"/>
  <c r="J106" i="6" s="1"/>
  <c r="L106" i="6" s="1"/>
  <c r="D134" i="6"/>
  <c r="J134" i="6" s="1"/>
  <c r="L134" i="6" s="1"/>
  <c r="AK7" i="2"/>
  <c r="AJ7" i="2"/>
  <c r="D93" i="6"/>
  <c r="J93" i="6" s="1"/>
  <c r="L93" i="6" s="1"/>
  <c r="D91" i="6"/>
  <c r="G91" i="6" s="1"/>
  <c r="H91" i="6" s="1"/>
  <c r="U7" i="2"/>
  <c r="AC7" i="2"/>
  <c r="D83" i="6"/>
  <c r="E83" i="6" s="1"/>
  <c r="D88" i="6"/>
  <c r="G88" i="6" s="1"/>
  <c r="H88" i="6" s="1"/>
  <c r="D95" i="6"/>
  <c r="J95" i="6" s="1"/>
  <c r="L95" i="6" s="1"/>
  <c r="D97" i="6"/>
  <c r="G97" i="6" s="1"/>
  <c r="H97" i="6" s="1"/>
  <c r="D99" i="6"/>
  <c r="J99" i="6" s="1"/>
  <c r="K99" i="6" s="1"/>
  <c r="D136" i="6"/>
  <c r="J136" i="6" s="1"/>
  <c r="K136" i="6" s="1"/>
  <c r="D109" i="6"/>
  <c r="G109" i="6" s="1"/>
  <c r="H109" i="6" s="1"/>
  <c r="AB7" i="2"/>
  <c r="V101" i="6"/>
  <c r="B194" i="2"/>
  <c r="B195" i="2" s="1"/>
  <c r="B137" i="6" s="1"/>
  <c r="C137" i="6" s="1"/>
  <c r="D85" i="6"/>
  <c r="F85" i="6" s="1"/>
  <c r="D81" i="6"/>
  <c r="G81" i="6" s="1"/>
  <c r="I81" i="6" s="1"/>
  <c r="D103" i="6"/>
  <c r="G103" i="6" s="1"/>
  <c r="H103" i="6" s="1"/>
  <c r="D105" i="6"/>
  <c r="J105" i="6" s="1"/>
  <c r="L105" i="6" s="1"/>
  <c r="D107" i="6"/>
  <c r="J107" i="6" s="1"/>
  <c r="L107" i="6" s="1"/>
  <c r="D114" i="6"/>
  <c r="G114" i="6" s="1"/>
  <c r="I114" i="6" s="1"/>
  <c r="D117" i="6"/>
  <c r="F117" i="6" s="1"/>
  <c r="T7" i="2"/>
  <c r="V7" i="2" s="1"/>
  <c r="X7" i="2"/>
  <c r="Z7" i="2" s="1"/>
  <c r="D86" i="6"/>
  <c r="G86" i="6" s="1"/>
  <c r="I86" i="6" s="1"/>
  <c r="D92" i="6"/>
  <c r="G92" i="6" s="1"/>
  <c r="H92" i="6" s="1"/>
  <c r="D112" i="6"/>
  <c r="G112" i="6" s="1"/>
  <c r="I112" i="6" s="1"/>
  <c r="D118" i="6"/>
  <c r="G118" i="6" s="1"/>
  <c r="I118" i="6" s="1"/>
  <c r="D111" i="6"/>
  <c r="G111" i="6" s="1"/>
  <c r="H111" i="6" s="1"/>
  <c r="D122" i="6"/>
  <c r="J122" i="6" s="1"/>
  <c r="L122" i="6" s="1"/>
  <c r="D125" i="6"/>
  <c r="J125" i="6" s="1"/>
  <c r="L125" i="6" s="1"/>
  <c r="D79" i="6"/>
  <c r="J79" i="6" s="1"/>
  <c r="K79" i="6" s="1"/>
  <c r="D100" i="6"/>
  <c r="J100" i="6" s="1"/>
  <c r="K100" i="6" s="1"/>
  <c r="D120" i="6"/>
  <c r="J120" i="6" s="1"/>
  <c r="K120" i="6" s="1"/>
  <c r="D126" i="6"/>
  <c r="J126" i="6" s="1"/>
  <c r="K126" i="6" s="1"/>
  <c r="D119" i="6"/>
  <c r="J119" i="6" s="1"/>
  <c r="L119" i="6" s="1"/>
  <c r="D130" i="6"/>
  <c r="E130" i="6" s="1"/>
  <c r="D131" i="6"/>
  <c r="J131" i="6" s="1"/>
  <c r="K131" i="6" s="1"/>
  <c r="D87" i="6"/>
  <c r="F87" i="6" s="1"/>
  <c r="D108" i="6"/>
  <c r="G108" i="6" s="1"/>
  <c r="D128" i="6"/>
  <c r="G128" i="6" s="1"/>
  <c r="I128" i="6" s="1"/>
  <c r="D90" i="6"/>
  <c r="G90" i="6" s="1"/>
  <c r="D127" i="6"/>
  <c r="G127" i="6" s="1"/>
  <c r="H127" i="6" s="1"/>
  <c r="D115" i="6"/>
  <c r="J115" i="6" s="1"/>
  <c r="L115" i="6" s="1"/>
  <c r="D132" i="6"/>
  <c r="J132" i="6" s="1"/>
  <c r="L132" i="6" s="1"/>
  <c r="Y13" i="2"/>
  <c r="Q13" i="2"/>
  <c r="AF30" i="2"/>
  <c r="AH30" i="2" s="1"/>
  <c r="AI30" i="2" s="1"/>
  <c r="X29" i="2"/>
  <c r="Z29" i="2" s="1"/>
  <c r="AA29" i="2" s="1"/>
  <c r="AC29" i="2"/>
  <c r="AF7" i="2"/>
  <c r="AG7" i="2"/>
  <c r="Y16" i="2"/>
  <c r="Y7" i="2"/>
  <c r="AG16" i="2"/>
  <c r="U13" i="2"/>
  <c r="X13" i="2"/>
  <c r="Q7" i="2"/>
  <c r="AJ18" i="2"/>
  <c r="AL18" i="2" s="1"/>
  <c r="AM18" i="2" s="1"/>
  <c r="T29" i="2"/>
  <c r="V29" i="2" s="1"/>
  <c r="W29" i="2" s="1"/>
  <c r="AK26" i="2"/>
  <c r="AJ26" i="2"/>
  <c r="AL26" i="2" s="1"/>
  <c r="AM26" i="2" s="1"/>
  <c r="AB13" i="2"/>
  <c r="Q55" i="2"/>
  <c r="P13" i="2"/>
  <c r="R13" i="2" s="1"/>
  <c r="AG25" i="2"/>
  <c r="T13" i="2"/>
  <c r="AG13" i="2"/>
  <c r="AF13" i="2"/>
  <c r="B160" i="1"/>
  <c r="Y9" i="2"/>
  <c r="AB43" i="2"/>
  <c r="AD43" i="2" s="1"/>
  <c r="AE43" i="2" s="1"/>
  <c r="X9" i="2"/>
  <c r="Q9" i="2"/>
  <c r="P9" i="2"/>
  <c r="R9" i="2" s="1"/>
  <c r="AF12" i="2"/>
  <c r="AH12" i="2" s="1"/>
  <c r="U43" i="2"/>
  <c r="Y12" i="2"/>
  <c r="X43" i="2"/>
  <c r="Z43" i="2" s="1"/>
  <c r="AA43" i="2" s="1"/>
  <c r="T12" i="2"/>
  <c r="V12" i="2" s="1"/>
  <c r="Q43" i="2"/>
  <c r="AC12" i="2"/>
  <c r="Y43" i="2"/>
  <c r="AK9" i="2"/>
  <c r="AK12" i="2"/>
  <c r="U9" i="2"/>
  <c r="P43" i="2"/>
  <c r="R43" i="2" s="1"/>
  <c r="S43" i="2" s="1"/>
  <c r="AG9" i="2"/>
  <c r="AF9" i="2"/>
  <c r="AK43" i="2"/>
  <c r="T9" i="2"/>
  <c r="T8" i="2"/>
  <c r="V8" i="2" s="1"/>
  <c r="Q8" i="2"/>
  <c r="AK8" i="2"/>
  <c r="X8" i="2"/>
  <c r="U8" i="2"/>
  <c r="AB21" i="2"/>
  <c r="AD21" i="2" s="1"/>
  <c r="AE21" i="2" s="1"/>
  <c r="AC8" i="2"/>
  <c r="Q12" i="2"/>
  <c r="U24" i="2"/>
  <c r="AF8" i="2"/>
  <c r="AH8" i="2" s="1"/>
  <c r="AJ8" i="2"/>
  <c r="AL8" i="2" s="1"/>
  <c r="Y21" i="2"/>
  <c r="AG8" i="2"/>
  <c r="AJ24" i="2"/>
  <c r="AL24" i="2" s="1"/>
  <c r="AM24" i="2" s="1"/>
  <c r="AG12" i="2"/>
  <c r="AF43" i="2"/>
  <c r="AH43" i="2" s="1"/>
  <c r="AI43" i="2" s="1"/>
  <c r="P8" i="2"/>
  <c r="R7" i="2"/>
  <c r="S7" i="2" s="1"/>
  <c r="AK13" i="2"/>
  <c r="AB12" i="2"/>
  <c r="AD12" i="2" s="1"/>
  <c r="AC43" i="2"/>
  <c r="AG43" i="2"/>
  <c r="AJ13" i="2"/>
  <c r="AL13" i="2" s="1"/>
  <c r="AJ9" i="2"/>
  <c r="P12" i="2"/>
  <c r="AJ12" i="2"/>
  <c r="AJ43" i="2"/>
  <c r="AL43" i="2" s="1"/>
  <c r="AM43" i="2" s="1"/>
  <c r="AB33" i="2"/>
  <c r="AD33" i="2" s="1"/>
  <c r="AE33" i="2" s="1"/>
  <c r="B240" i="2"/>
  <c r="AC9" i="2"/>
  <c r="X12" i="2"/>
  <c r="Z12" i="2" s="1"/>
  <c r="AK30" i="2"/>
  <c r="B161" i="1"/>
  <c r="AJ19" i="2"/>
  <c r="AL19" i="2" s="1"/>
  <c r="AM19" i="2" s="1"/>
  <c r="AK24" i="2"/>
  <c r="U22" i="2"/>
  <c r="T24" i="2"/>
  <c r="V24" i="2" s="1"/>
  <c r="W24" i="2" s="1"/>
  <c r="Q89" i="6"/>
  <c r="AC21" i="2"/>
  <c r="D135" i="6"/>
  <c r="J135" i="6" s="1"/>
  <c r="L135" i="6" s="1"/>
  <c r="AJ21" i="2"/>
  <c r="AL21" i="2" s="1"/>
  <c r="AM21" i="2" s="1"/>
  <c r="AC24" i="2"/>
  <c r="AB24" i="2"/>
  <c r="AD24" i="2" s="1"/>
  <c r="AE24" i="2" s="1"/>
  <c r="AG24" i="2"/>
  <c r="T21" i="2"/>
  <c r="V21" i="2" s="1"/>
  <c r="W21" i="2" s="1"/>
  <c r="AF22" i="2"/>
  <c r="AH22" i="2" s="1"/>
  <c r="AI22" i="2" s="1"/>
  <c r="Q21" i="2"/>
  <c r="AB22" i="2"/>
  <c r="AD22" i="2" s="1"/>
  <c r="AE22" i="2" s="1"/>
  <c r="X22" i="2"/>
  <c r="Z22" i="2" s="1"/>
  <c r="AA22" i="2" s="1"/>
  <c r="Q24" i="2"/>
  <c r="AG22" i="2"/>
  <c r="P22" i="2"/>
  <c r="R22" i="2" s="1"/>
  <c r="S22" i="2" s="1"/>
  <c r="X21" i="2"/>
  <c r="Z21" i="2" s="1"/>
  <c r="AA21" i="2" s="1"/>
  <c r="AF21" i="2"/>
  <c r="AH21" i="2" s="1"/>
  <c r="AI21" i="2" s="1"/>
  <c r="X24" i="2"/>
  <c r="Z24" i="2" s="1"/>
  <c r="AA24" i="2" s="1"/>
  <c r="Y22" i="2"/>
  <c r="AE9" i="2"/>
  <c r="P21" i="2"/>
  <c r="R21" i="2" s="1"/>
  <c r="S21" i="2" s="1"/>
  <c r="AK22" i="2"/>
  <c r="AJ22" i="2"/>
  <c r="AL22" i="2" s="1"/>
  <c r="AM22" i="2" s="1"/>
  <c r="AF24" i="2"/>
  <c r="AH24" i="2" s="1"/>
  <c r="AI24" i="2" s="1"/>
  <c r="P24" i="2"/>
  <c r="R24" i="2" s="1"/>
  <c r="S24" i="2" s="1"/>
  <c r="Q22" i="2"/>
  <c r="AC22" i="2"/>
  <c r="AG21" i="2"/>
  <c r="X11" i="2"/>
  <c r="Z11" i="2" s="1"/>
  <c r="AB19" i="2"/>
  <c r="AD19" i="2" s="1"/>
  <c r="AE19" i="2" s="1"/>
  <c r="P11" i="2"/>
  <c r="R11" i="2" s="1"/>
  <c r="T19" i="2"/>
  <c r="V19" i="2" s="1"/>
  <c r="W19" i="2" s="1"/>
  <c r="AK19" i="2"/>
  <c r="AC19" i="2"/>
  <c r="AF10" i="2"/>
  <c r="AH10" i="2" s="1"/>
  <c r="AK11" i="2"/>
  <c r="AG10" i="2"/>
  <c r="U19" i="2"/>
  <c r="X10" i="2"/>
  <c r="AC11" i="2"/>
  <c r="Y10" i="2"/>
  <c r="P10" i="2"/>
  <c r="U11" i="2"/>
  <c r="Q10" i="2"/>
  <c r="V14" i="2"/>
  <c r="W14" i="2" s="1"/>
  <c r="T25" i="2"/>
  <c r="V25" i="2" s="1"/>
  <c r="W25" i="2" s="1"/>
  <c r="T16" i="2"/>
  <c r="T11" i="2"/>
  <c r="AF19" i="2"/>
  <c r="AH19" i="2" s="1"/>
  <c r="AI19" i="2" s="1"/>
  <c r="AB25" i="2"/>
  <c r="AD25" i="2" s="1"/>
  <c r="AE25" i="2" s="1"/>
  <c r="X19" i="2"/>
  <c r="Z19" i="2" s="1"/>
  <c r="AA19" i="2" s="1"/>
  <c r="AK10" i="2"/>
  <c r="AB16" i="2"/>
  <c r="AD16" i="2" s="1"/>
  <c r="AE16" i="2" s="1"/>
  <c r="AB11" i="2"/>
  <c r="P25" i="2"/>
  <c r="R25" i="2" s="1"/>
  <c r="S25" i="2" s="1"/>
  <c r="AJ25" i="2"/>
  <c r="AL25" i="2" s="1"/>
  <c r="AM25" i="2" s="1"/>
  <c r="Q11" i="2"/>
  <c r="AG19" i="2"/>
  <c r="AJ10" i="2"/>
  <c r="AL10" i="2" s="1"/>
  <c r="P16" i="2"/>
  <c r="R16" i="2" s="1"/>
  <c r="S16" i="2" s="1"/>
  <c r="AJ16" i="2"/>
  <c r="U10" i="2"/>
  <c r="AJ11" i="2"/>
  <c r="AL11" i="2" s="1"/>
  <c r="X25" i="2"/>
  <c r="Z25" i="2" s="1"/>
  <c r="AA25" i="2" s="1"/>
  <c r="U25" i="2"/>
  <c r="AG11" i="2"/>
  <c r="Y19" i="2"/>
  <c r="AB10" i="2"/>
  <c r="AD10" i="2" s="1"/>
  <c r="B28" i="2"/>
  <c r="D219" i="6" s="1"/>
  <c r="F219" i="6" s="1"/>
  <c r="X16" i="2"/>
  <c r="U16" i="2"/>
  <c r="AC10" i="2"/>
  <c r="AF25" i="2"/>
  <c r="AH25" i="2" s="1"/>
  <c r="AI25" i="2" s="1"/>
  <c r="AC25" i="2"/>
  <c r="AF11" i="2"/>
  <c r="AH11" i="2" s="1"/>
  <c r="P19" i="2"/>
  <c r="R19" i="2" s="1"/>
  <c r="S19" i="2" s="1"/>
  <c r="B73" i="2"/>
  <c r="B29" i="2"/>
  <c r="AF16" i="2"/>
  <c r="AC16" i="2"/>
  <c r="Q25" i="2"/>
  <c r="AK25" i="2"/>
  <c r="Q16" i="2"/>
  <c r="AG33" i="2"/>
  <c r="Y55" i="2"/>
  <c r="X30" i="2"/>
  <c r="Z30" i="2" s="1"/>
  <c r="AA30" i="2" s="1"/>
  <c r="AC30" i="2"/>
  <c r="AG30" i="2"/>
  <c r="AG55" i="2"/>
  <c r="P30" i="2"/>
  <c r="R30" i="2" s="1"/>
  <c r="S30" i="2" s="1"/>
  <c r="AB30" i="2"/>
  <c r="AD30" i="2" s="1"/>
  <c r="AE30" i="2" s="1"/>
  <c r="Y30" i="2"/>
  <c r="X55" i="2"/>
  <c r="Z55" i="2" s="1"/>
  <c r="AA55" i="2" s="1"/>
  <c r="T55" i="2"/>
  <c r="V55" i="2" s="1"/>
  <c r="W55" i="2" s="1"/>
  <c r="T30" i="2"/>
  <c r="V30" i="2" s="1"/>
  <c r="W30" i="2" s="1"/>
  <c r="Q30" i="2"/>
  <c r="R55" i="2"/>
  <c r="S55" i="2" s="1"/>
  <c r="AB55" i="2"/>
  <c r="AD55" i="2" s="1"/>
  <c r="AE55" i="2" s="1"/>
  <c r="AC55" i="2"/>
  <c r="AJ55" i="2"/>
  <c r="AL55" i="2" s="1"/>
  <c r="AM55" i="2" s="1"/>
  <c r="U55" i="2"/>
  <c r="AK55" i="2"/>
  <c r="AF55" i="2"/>
  <c r="AH55" i="2" s="1"/>
  <c r="AI55" i="2" s="1"/>
  <c r="U30" i="2"/>
  <c r="T33" i="2"/>
  <c r="V33" i="2" s="1"/>
  <c r="W33" i="2" s="1"/>
  <c r="P33" i="2"/>
  <c r="R33" i="2" s="1"/>
  <c r="S33" i="2" s="1"/>
  <c r="AJ33" i="2"/>
  <c r="AL33" i="2" s="1"/>
  <c r="AM33" i="2" s="1"/>
  <c r="X33" i="2"/>
  <c r="Z33" i="2" s="1"/>
  <c r="AA33" i="2" s="1"/>
  <c r="U33" i="2"/>
  <c r="AF33" i="2"/>
  <c r="AH33" i="2" s="1"/>
  <c r="AI33" i="2" s="1"/>
  <c r="AC33" i="2"/>
  <c r="Q33" i="2"/>
  <c r="AK33" i="2"/>
  <c r="B261" i="2"/>
  <c r="B263" i="2" s="1"/>
  <c r="W10" i="2"/>
  <c r="W116" i="6"/>
  <c r="V116" i="6"/>
  <c r="Q91" i="6"/>
  <c r="P91" i="6"/>
  <c r="Q193" i="6"/>
  <c r="P193" i="6"/>
  <c r="W114" i="6"/>
  <c r="V114" i="6"/>
  <c r="W207" i="6"/>
  <c r="V207" i="6"/>
  <c r="Q173" i="6"/>
  <c r="P173" i="6"/>
  <c r="Q195" i="6"/>
  <c r="P195" i="6"/>
  <c r="J34" i="6"/>
  <c r="E34" i="6"/>
  <c r="F34" i="6"/>
  <c r="F12" i="6"/>
  <c r="E12" i="6"/>
  <c r="J12" i="6"/>
  <c r="I41" i="6"/>
  <c r="H41" i="6"/>
  <c r="V110" i="6"/>
  <c r="W110" i="6"/>
  <c r="W192" i="6"/>
  <c r="V192" i="6"/>
  <c r="Q212" i="6"/>
  <c r="P212" i="6"/>
  <c r="V117" i="6"/>
  <c r="W117" i="6"/>
  <c r="W131" i="6"/>
  <c r="V131" i="6"/>
  <c r="W205" i="6"/>
  <c r="V205" i="6"/>
  <c r="Q119" i="6"/>
  <c r="P119" i="6"/>
  <c r="Q222" i="6"/>
  <c r="P222" i="6"/>
  <c r="AK45" i="2"/>
  <c r="P45" i="2"/>
  <c r="R45" i="2" s="1"/>
  <c r="S45" i="2" s="1"/>
  <c r="AB45" i="2"/>
  <c r="AD45" i="2" s="1"/>
  <c r="AE45" i="2" s="1"/>
  <c r="AJ45" i="2"/>
  <c r="AL45" i="2" s="1"/>
  <c r="AM45" i="2" s="1"/>
  <c r="Y45" i="2"/>
  <c r="X45" i="2"/>
  <c r="Z45" i="2" s="1"/>
  <c r="AA45" i="2" s="1"/>
  <c r="AG45" i="2"/>
  <c r="Q45" i="2"/>
  <c r="AF45" i="2"/>
  <c r="AH45" i="2" s="1"/>
  <c r="AI45" i="2" s="1"/>
  <c r="U45" i="2"/>
  <c r="T45" i="2"/>
  <c r="V45" i="2" s="1"/>
  <c r="W45" i="2" s="1"/>
  <c r="AC45" i="2"/>
  <c r="AK51" i="2"/>
  <c r="AC51" i="2"/>
  <c r="U51" i="2"/>
  <c r="AJ51" i="2"/>
  <c r="AL51" i="2" s="1"/>
  <c r="AM51" i="2" s="1"/>
  <c r="AB51" i="2"/>
  <c r="AD51" i="2" s="1"/>
  <c r="AE51" i="2" s="1"/>
  <c r="T51" i="2"/>
  <c r="V51" i="2" s="1"/>
  <c r="W51" i="2" s="1"/>
  <c r="P51" i="2"/>
  <c r="R51" i="2" s="1"/>
  <c r="S51" i="2" s="1"/>
  <c r="AG51" i="2"/>
  <c r="AF51" i="2"/>
  <c r="AH51" i="2" s="1"/>
  <c r="AI51" i="2" s="1"/>
  <c r="Q51" i="2"/>
  <c r="Y51" i="2"/>
  <c r="X51" i="2"/>
  <c r="Z51" i="2" s="1"/>
  <c r="AA51" i="2" s="1"/>
  <c r="I44" i="6"/>
  <c r="H44" i="6"/>
  <c r="E29" i="6"/>
  <c r="J29" i="6"/>
  <c r="F29" i="6"/>
  <c r="F38" i="6"/>
  <c r="E38" i="6"/>
  <c r="J38" i="6"/>
  <c r="F43" i="6"/>
  <c r="E43" i="6"/>
  <c r="J43" i="6"/>
  <c r="J48" i="6"/>
  <c r="F48" i="6"/>
  <c r="E48" i="6"/>
  <c r="AG48" i="2"/>
  <c r="Y48" i="2"/>
  <c r="Q48" i="2"/>
  <c r="AF48" i="2"/>
  <c r="AH48" i="2" s="1"/>
  <c r="AI48" i="2" s="1"/>
  <c r="X48" i="2"/>
  <c r="Z48" i="2" s="1"/>
  <c r="AA48" i="2" s="1"/>
  <c r="P48" i="2"/>
  <c r="R48" i="2" s="1"/>
  <c r="S48" i="2" s="1"/>
  <c r="AK48" i="2"/>
  <c r="AC48" i="2"/>
  <c r="U48" i="2"/>
  <c r="AB48" i="2"/>
  <c r="AD48" i="2" s="1"/>
  <c r="AE48" i="2" s="1"/>
  <c r="T48" i="2"/>
  <c r="V48" i="2" s="1"/>
  <c r="W48" i="2" s="1"/>
  <c r="AJ48" i="2"/>
  <c r="AL48" i="2" s="1"/>
  <c r="AM48" i="2" s="1"/>
  <c r="AJ52" i="2"/>
  <c r="AL52" i="2" s="1"/>
  <c r="AM52" i="2" s="1"/>
  <c r="AG52" i="2"/>
  <c r="Y52" i="2"/>
  <c r="Q52" i="2"/>
  <c r="AF52" i="2"/>
  <c r="AH52" i="2" s="1"/>
  <c r="AI52" i="2" s="1"/>
  <c r="X52" i="2"/>
  <c r="Z52" i="2" s="1"/>
  <c r="AA52" i="2" s="1"/>
  <c r="P52" i="2"/>
  <c r="R52" i="2" s="1"/>
  <c r="S52" i="2" s="1"/>
  <c r="AC52" i="2"/>
  <c r="U52" i="2"/>
  <c r="AK52" i="2"/>
  <c r="AB52" i="2"/>
  <c r="AD52" i="2" s="1"/>
  <c r="AE52" i="2" s="1"/>
  <c r="T52" i="2"/>
  <c r="V52" i="2" s="1"/>
  <c r="W52" i="2" s="1"/>
  <c r="W119" i="6"/>
  <c r="V119" i="6"/>
  <c r="V125" i="6"/>
  <c r="W125" i="6"/>
  <c r="V79" i="6"/>
  <c r="W79" i="6"/>
  <c r="W102" i="6"/>
  <c r="V102" i="6"/>
  <c r="V105" i="6"/>
  <c r="W105" i="6"/>
  <c r="W112" i="6"/>
  <c r="V112" i="6"/>
  <c r="W122" i="6"/>
  <c r="V122" i="6"/>
  <c r="W133" i="6"/>
  <c r="V133" i="6"/>
  <c r="W187" i="6"/>
  <c r="V187" i="6"/>
  <c r="W188" i="6"/>
  <c r="V188" i="6"/>
  <c r="W189" i="6"/>
  <c r="V189" i="6"/>
  <c r="W198" i="6"/>
  <c r="V198" i="6"/>
  <c r="W215" i="6"/>
  <c r="V215" i="6"/>
  <c r="W218" i="6"/>
  <c r="V218" i="6"/>
  <c r="W213" i="6"/>
  <c r="V213" i="6"/>
  <c r="P123" i="6"/>
  <c r="Q123" i="6"/>
  <c r="P115" i="6"/>
  <c r="Q115" i="6"/>
  <c r="Q108" i="6"/>
  <c r="P108" i="6"/>
  <c r="P95" i="6"/>
  <c r="Q95" i="6"/>
  <c r="Q130" i="6"/>
  <c r="P130" i="6"/>
  <c r="Q127" i="6"/>
  <c r="P127" i="6"/>
  <c r="P129" i="6"/>
  <c r="Q129" i="6"/>
  <c r="Q132" i="6"/>
  <c r="P132" i="6"/>
  <c r="Q170" i="6"/>
  <c r="P170" i="6"/>
  <c r="Q203" i="6"/>
  <c r="P203" i="6"/>
  <c r="Q190" i="6"/>
  <c r="P190" i="6"/>
  <c r="Q207" i="6"/>
  <c r="P207" i="6"/>
  <c r="Q202" i="6"/>
  <c r="P202" i="6"/>
  <c r="B226" i="6"/>
  <c r="C226" i="6" s="1"/>
  <c r="B205" i="1"/>
  <c r="AF37" i="2"/>
  <c r="AH37" i="2" s="1"/>
  <c r="AI37" i="2" s="1"/>
  <c r="X37" i="2"/>
  <c r="Z37" i="2" s="1"/>
  <c r="AA37" i="2" s="1"/>
  <c r="P37" i="2"/>
  <c r="R37" i="2" s="1"/>
  <c r="S37" i="2" s="1"/>
  <c r="AK37" i="2"/>
  <c r="AC37" i="2"/>
  <c r="U37" i="2"/>
  <c r="AJ37" i="2"/>
  <c r="AL37" i="2" s="1"/>
  <c r="AM37" i="2" s="1"/>
  <c r="AB37" i="2"/>
  <c r="AD37" i="2" s="1"/>
  <c r="AE37" i="2" s="1"/>
  <c r="T37" i="2"/>
  <c r="V37" i="2" s="1"/>
  <c r="W37" i="2" s="1"/>
  <c r="AG37" i="2"/>
  <c r="Y37" i="2"/>
  <c r="Q37" i="2"/>
  <c r="F19" i="6"/>
  <c r="E19" i="6"/>
  <c r="J19" i="6"/>
  <c r="AK54" i="2"/>
  <c r="P54" i="2"/>
  <c r="R54" i="2" s="1"/>
  <c r="S54" i="2" s="1"/>
  <c r="AJ54" i="2"/>
  <c r="AL54" i="2" s="1"/>
  <c r="AM54" i="2" s="1"/>
  <c r="Y54" i="2"/>
  <c r="X54" i="2"/>
  <c r="Z54" i="2" s="1"/>
  <c r="AA54" i="2" s="1"/>
  <c r="AG54" i="2"/>
  <c r="AC54" i="2"/>
  <c r="AF54" i="2"/>
  <c r="AH54" i="2" s="1"/>
  <c r="AI54" i="2" s="1"/>
  <c r="AB54" i="2"/>
  <c r="AD54" i="2" s="1"/>
  <c r="AE54" i="2" s="1"/>
  <c r="U54" i="2"/>
  <c r="T54" i="2"/>
  <c r="V54" i="2" s="1"/>
  <c r="W54" i="2" s="1"/>
  <c r="Q54" i="2"/>
  <c r="J8" i="6"/>
  <c r="E8" i="6"/>
  <c r="F8" i="6"/>
  <c r="I8" i="6"/>
  <c r="H8" i="6"/>
  <c r="F16" i="6"/>
  <c r="E16" i="6"/>
  <c r="J16" i="6"/>
  <c r="H47" i="6"/>
  <c r="I47" i="6"/>
  <c r="I27" i="6"/>
  <c r="H27" i="6"/>
  <c r="E33" i="6"/>
  <c r="J33" i="6"/>
  <c r="F33" i="6"/>
  <c r="J37" i="6"/>
  <c r="F37" i="6"/>
  <c r="E37" i="6"/>
  <c r="F42" i="6"/>
  <c r="E42" i="6"/>
  <c r="J42" i="6"/>
  <c r="I45" i="6"/>
  <c r="H45" i="6"/>
  <c r="F47" i="6"/>
  <c r="E47" i="6"/>
  <c r="J47" i="6"/>
  <c r="H50" i="6"/>
  <c r="I50" i="6"/>
  <c r="J52" i="6"/>
  <c r="F52" i="6"/>
  <c r="E52" i="6"/>
  <c r="AK46" i="2"/>
  <c r="AC46" i="2"/>
  <c r="U46" i="2"/>
  <c r="AJ46" i="2"/>
  <c r="AL46" i="2" s="1"/>
  <c r="AM46" i="2" s="1"/>
  <c r="AB46" i="2"/>
  <c r="AD46" i="2" s="1"/>
  <c r="AE46" i="2" s="1"/>
  <c r="T46" i="2"/>
  <c r="V46" i="2" s="1"/>
  <c r="W46" i="2" s="1"/>
  <c r="AG46" i="2"/>
  <c r="Y46" i="2"/>
  <c r="Q46" i="2"/>
  <c r="X46" i="2"/>
  <c r="Z46" i="2" s="1"/>
  <c r="AA46" i="2" s="1"/>
  <c r="AF46" i="2"/>
  <c r="AH46" i="2" s="1"/>
  <c r="AI46" i="2" s="1"/>
  <c r="P46" i="2"/>
  <c r="R46" i="2" s="1"/>
  <c r="S46" i="2" s="1"/>
  <c r="V171" i="6"/>
  <c r="W171" i="6"/>
  <c r="Q125" i="6"/>
  <c r="P125" i="6"/>
  <c r="P189" i="6"/>
  <c r="Q189" i="6"/>
  <c r="W126" i="6"/>
  <c r="V126" i="6"/>
  <c r="W190" i="6"/>
  <c r="V190" i="6"/>
  <c r="Q100" i="6"/>
  <c r="P100" i="6"/>
  <c r="Q178" i="6"/>
  <c r="P178" i="6"/>
  <c r="F9" i="6"/>
  <c r="E9" i="6"/>
  <c r="J9" i="6"/>
  <c r="I23" i="6"/>
  <c r="H23" i="6"/>
  <c r="H35" i="6"/>
  <c r="I35" i="6"/>
  <c r="H46" i="6"/>
  <c r="I46" i="6"/>
  <c r="W83" i="6"/>
  <c r="V83" i="6"/>
  <c r="W84" i="6"/>
  <c r="V84" i="6"/>
  <c r="V87" i="6"/>
  <c r="W87" i="6"/>
  <c r="W95" i="6"/>
  <c r="V95" i="6"/>
  <c r="V109" i="6"/>
  <c r="W109" i="6"/>
  <c r="W120" i="6"/>
  <c r="V120" i="6"/>
  <c r="W132" i="6"/>
  <c r="V132" i="6"/>
  <c r="W195" i="6"/>
  <c r="V195" i="6"/>
  <c r="W196" i="6"/>
  <c r="V196" i="6"/>
  <c r="W197" i="6"/>
  <c r="V197" i="6"/>
  <c r="V183" i="6"/>
  <c r="W183" i="6"/>
  <c r="W223" i="6"/>
  <c r="V223" i="6"/>
  <c r="V203" i="6"/>
  <c r="W203" i="6"/>
  <c r="W221" i="6"/>
  <c r="V221" i="6"/>
  <c r="Q194" i="6"/>
  <c r="P194" i="6"/>
  <c r="Q90" i="6"/>
  <c r="P90" i="6"/>
  <c r="Q93" i="6"/>
  <c r="P93" i="6"/>
  <c r="P103" i="6"/>
  <c r="Q103" i="6"/>
  <c r="P171" i="6"/>
  <c r="Q171" i="6"/>
  <c r="Q131" i="6"/>
  <c r="P131" i="6"/>
  <c r="Q114" i="6"/>
  <c r="P114" i="6"/>
  <c r="Q175" i="6"/>
  <c r="P175" i="6"/>
  <c r="P199" i="6"/>
  <c r="Q199" i="6"/>
  <c r="Q180" i="6"/>
  <c r="P180" i="6"/>
  <c r="Q198" i="6"/>
  <c r="P198" i="6"/>
  <c r="Q215" i="6"/>
  <c r="P215" i="6"/>
  <c r="P210" i="6"/>
  <c r="Q210" i="6"/>
  <c r="AF32" i="2"/>
  <c r="AH32" i="2" s="1"/>
  <c r="AI32" i="2" s="1"/>
  <c r="X32" i="2"/>
  <c r="Z32" i="2" s="1"/>
  <c r="AA32" i="2" s="1"/>
  <c r="P32" i="2"/>
  <c r="R32" i="2" s="1"/>
  <c r="S32" i="2" s="1"/>
  <c r="AK32" i="2"/>
  <c r="AC32" i="2"/>
  <c r="U32" i="2"/>
  <c r="AJ32" i="2"/>
  <c r="AL32" i="2" s="1"/>
  <c r="AM32" i="2" s="1"/>
  <c r="AB32" i="2"/>
  <c r="AD32" i="2" s="1"/>
  <c r="AE32" i="2" s="1"/>
  <c r="T32" i="2"/>
  <c r="V32" i="2" s="1"/>
  <c r="W32" i="2" s="1"/>
  <c r="AG32" i="2"/>
  <c r="Y32" i="2"/>
  <c r="Q32" i="2"/>
  <c r="AG36" i="2"/>
  <c r="Y36" i="2"/>
  <c r="Q36" i="2"/>
  <c r="AF36" i="2"/>
  <c r="AH36" i="2" s="1"/>
  <c r="AI36" i="2" s="1"/>
  <c r="X36" i="2"/>
  <c r="Z36" i="2" s="1"/>
  <c r="AA36" i="2" s="1"/>
  <c r="P36" i="2"/>
  <c r="R36" i="2" s="1"/>
  <c r="S36" i="2" s="1"/>
  <c r="AK36" i="2"/>
  <c r="AC36" i="2"/>
  <c r="U36" i="2"/>
  <c r="AJ36" i="2"/>
  <c r="AL36" i="2" s="1"/>
  <c r="AM36" i="2" s="1"/>
  <c r="AB36" i="2"/>
  <c r="AD36" i="2" s="1"/>
  <c r="AE36" i="2" s="1"/>
  <c r="T36" i="2"/>
  <c r="V36" i="2" s="1"/>
  <c r="W36" i="2" s="1"/>
  <c r="AF42" i="2"/>
  <c r="AH42" i="2" s="1"/>
  <c r="AI42" i="2" s="1"/>
  <c r="X42" i="2"/>
  <c r="Z42" i="2" s="1"/>
  <c r="AA42" i="2" s="1"/>
  <c r="P42" i="2"/>
  <c r="R42" i="2" s="1"/>
  <c r="S42" i="2" s="1"/>
  <c r="T42" i="2"/>
  <c r="V42" i="2" s="1"/>
  <c r="W42" i="2" s="1"/>
  <c r="AC42" i="2"/>
  <c r="AB42" i="2"/>
  <c r="AD42" i="2" s="1"/>
  <c r="AE42" i="2" s="1"/>
  <c r="Q42" i="2"/>
  <c r="AK42" i="2"/>
  <c r="AJ42" i="2"/>
  <c r="AL42" i="2" s="1"/>
  <c r="AM42" i="2" s="1"/>
  <c r="Y42" i="2"/>
  <c r="AG42" i="2"/>
  <c r="U42" i="2"/>
  <c r="I48" i="6"/>
  <c r="H48" i="6"/>
  <c r="AK50" i="2"/>
  <c r="AC50" i="2"/>
  <c r="U50" i="2"/>
  <c r="AJ50" i="2"/>
  <c r="AL50" i="2" s="1"/>
  <c r="AM50" i="2" s="1"/>
  <c r="AB50" i="2"/>
  <c r="AD50" i="2" s="1"/>
  <c r="AE50" i="2" s="1"/>
  <c r="T50" i="2"/>
  <c r="V50" i="2" s="1"/>
  <c r="W50" i="2" s="1"/>
  <c r="AG50" i="2"/>
  <c r="Y50" i="2"/>
  <c r="Q50" i="2"/>
  <c r="P50" i="2"/>
  <c r="R50" i="2" s="1"/>
  <c r="S50" i="2" s="1"/>
  <c r="X50" i="2"/>
  <c r="Z50" i="2" s="1"/>
  <c r="AA50" i="2" s="1"/>
  <c r="AF50" i="2"/>
  <c r="AH50" i="2" s="1"/>
  <c r="AI50" i="2" s="1"/>
  <c r="J10" i="6"/>
  <c r="E10" i="6"/>
  <c r="F10" i="6"/>
  <c r="I11" i="6"/>
  <c r="H11" i="6"/>
  <c r="I10" i="6"/>
  <c r="H10" i="6"/>
  <c r="F20" i="6"/>
  <c r="E20" i="6"/>
  <c r="J20" i="6"/>
  <c r="I52" i="6"/>
  <c r="H52" i="6"/>
  <c r="I31" i="6"/>
  <c r="H31" i="6"/>
  <c r="I12" i="6"/>
  <c r="H12" i="6"/>
  <c r="J41" i="6"/>
  <c r="F41" i="6"/>
  <c r="E41" i="6"/>
  <c r="F46" i="6"/>
  <c r="E46" i="6"/>
  <c r="J46" i="6"/>
  <c r="I49" i="6"/>
  <c r="H49" i="6"/>
  <c r="F51" i="6"/>
  <c r="E51" i="6"/>
  <c r="J51" i="6"/>
  <c r="H54" i="6"/>
  <c r="I54" i="6"/>
  <c r="J56" i="6"/>
  <c r="F56" i="6"/>
  <c r="E56" i="6"/>
  <c r="B147" i="2"/>
  <c r="B125" i="1" s="1"/>
  <c r="Q81" i="6"/>
  <c r="P81" i="6"/>
  <c r="W174" i="6"/>
  <c r="V174" i="6"/>
  <c r="Q84" i="6"/>
  <c r="P84" i="6"/>
  <c r="Q179" i="6"/>
  <c r="P179" i="6"/>
  <c r="V97" i="6"/>
  <c r="W97" i="6"/>
  <c r="W181" i="6"/>
  <c r="V181" i="6"/>
  <c r="Q86" i="6"/>
  <c r="P86" i="6"/>
  <c r="P177" i="6"/>
  <c r="Q177" i="6"/>
  <c r="P87" i="6"/>
  <c r="Q87" i="6"/>
  <c r="W224" i="6"/>
  <c r="V224" i="6"/>
  <c r="W111" i="6"/>
  <c r="V111" i="6"/>
  <c r="W90" i="6"/>
  <c r="V90" i="6"/>
  <c r="W169" i="6"/>
  <c r="V169" i="6"/>
  <c r="W172" i="6"/>
  <c r="V172" i="6"/>
  <c r="W201" i="6"/>
  <c r="V201" i="6"/>
  <c r="V191" i="6"/>
  <c r="W191" i="6"/>
  <c r="W208" i="6"/>
  <c r="V208" i="6"/>
  <c r="W211" i="6"/>
  <c r="V211" i="6"/>
  <c r="Q83" i="6"/>
  <c r="P83" i="6"/>
  <c r="Q98" i="6"/>
  <c r="P98" i="6"/>
  <c r="Q101" i="6"/>
  <c r="P101" i="6"/>
  <c r="Q88" i="6"/>
  <c r="P88" i="6"/>
  <c r="Q204" i="6"/>
  <c r="P204" i="6"/>
  <c r="Q112" i="6"/>
  <c r="P112" i="6"/>
  <c r="Q122" i="6"/>
  <c r="P122" i="6"/>
  <c r="Q133" i="6"/>
  <c r="P133" i="6"/>
  <c r="Q184" i="6"/>
  <c r="P184" i="6"/>
  <c r="Q188" i="6"/>
  <c r="P188" i="6"/>
  <c r="Q205" i="6"/>
  <c r="P205" i="6"/>
  <c r="Q223" i="6"/>
  <c r="P223" i="6"/>
  <c r="P218" i="6"/>
  <c r="Q218" i="6"/>
  <c r="B121" i="1"/>
  <c r="X111" i="2"/>
  <c r="Z111" i="2" s="1"/>
  <c r="AA111" i="2" s="1"/>
  <c r="P111" i="2"/>
  <c r="R111" i="2" s="1"/>
  <c r="S111" i="2" s="1"/>
  <c r="AN109" i="2"/>
  <c r="AF109" i="2"/>
  <c r="AI108" i="2"/>
  <c r="AK108" i="2" s="1"/>
  <c r="AL108" i="2" s="1"/>
  <c r="Y108" i="2"/>
  <c r="Q108" i="2"/>
  <c r="AM106" i="2"/>
  <c r="AO106" i="2" s="1"/>
  <c r="AP106" i="2" s="1"/>
  <c r="AE106" i="2"/>
  <c r="AG106" i="2" s="1"/>
  <c r="AH106" i="2" s="1"/>
  <c r="U106" i="2"/>
  <c r="AI104" i="2"/>
  <c r="AK104" i="2" s="1"/>
  <c r="AL104" i="2" s="1"/>
  <c r="Y104" i="2"/>
  <c r="Q104" i="2"/>
  <c r="AM102" i="2"/>
  <c r="AO102" i="2" s="1"/>
  <c r="AP102" i="2" s="1"/>
  <c r="AE102" i="2"/>
  <c r="AG102" i="2" s="1"/>
  <c r="AH102" i="2" s="1"/>
  <c r="U102" i="2"/>
  <c r="AI100" i="2"/>
  <c r="AK100" i="2" s="1"/>
  <c r="AL100" i="2" s="1"/>
  <c r="Y100" i="2"/>
  <c r="Q100" i="2"/>
  <c r="AM98" i="2"/>
  <c r="AO98" i="2" s="1"/>
  <c r="AP98" i="2" s="1"/>
  <c r="AE98" i="2"/>
  <c r="AG98" i="2" s="1"/>
  <c r="AH98" i="2" s="1"/>
  <c r="AJ110" i="2"/>
  <c r="AM109" i="2"/>
  <c r="AO109" i="2" s="1"/>
  <c r="AP109" i="2" s="1"/>
  <c r="AE109" i="2"/>
  <c r="AG109" i="2" s="1"/>
  <c r="AH109" i="2" s="1"/>
  <c r="U109" i="2"/>
  <c r="X108" i="2"/>
  <c r="Z108" i="2" s="1"/>
  <c r="AA108" i="2" s="1"/>
  <c r="P108" i="2"/>
  <c r="R108" i="2" s="1"/>
  <c r="S108" i="2" s="1"/>
  <c r="AJ107" i="2"/>
  <c r="T106" i="2"/>
  <c r="V106" i="2" s="1"/>
  <c r="W106" i="2" s="1"/>
  <c r="AN105" i="2"/>
  <c r="AF105" i="2"/>
  <c r="X104" i="2"/>
  <c r="Z104" i="2" s="1"/>
  <c r="AA104" i="2" s="1"/>
  <c r="P104" i="2"/>
  <c r="R104" i="2" s="1"/>
  <c r="S104" i="2" s="1"/>
  <c r="AJ103" i="2"/>
  <c r="T102" i="2"/>
  <c r="V102" i="2" s="1"/>
  <c r="W102" i="2" s="1"/>
  <c r="AN101" i="2"/>
  <c r="AF101" i="2"/>
  <c r="X100" i="2"/>
  <c r="Z100" i="2" s="1"/>
  <c r="AA100" i="2" s="1"/>
  <c r="P100" i="2"/>
  <c r="R100" i="2" s="1"/>
  <c r="S100" i="2" s="1"/>
  <c r="AJ99" i="2"/>
  <c r="T98" i="2"/>
  <c r="V98" i="2" s="1"/>
  <c r="W98" i="2" s="1"/>
  <c r="AN97" i="2"/>
  <c r="AF97" i="2"/>
  <c r="X96" i="2"/>
  <c r="Z96" i="2" s="1"/>
  <c r="AA96" i="2" s="1"/>
  <c r="P96" i="2"/>
  <c r="R96" i="2" s="1"/>
  <c r="S96" i="2" s="1"/>
  <c r="AN94" i="2"/>
  <c r="AF94" i="2"/>
  <c r="AI93" i="2"/>
  <c r="AK93" i="2" s="1"/>
  <c r="AL93" i="2" s="1"/>
  <c r="Y93" i="2"/>
  <c r="Q93" i="2"/>
  <c r="AN111" i="2"/>
  <c r="AF111" i="2"/>
  <c r="AI110" i="2"/>
  <c r="AK110" i="2" s="1"/>
  <c r="AL110" i="2" s="1"/>
  <c r="Y110" i="2"/>
  <c r="Q110" i="2"/>
  <c r="T109" i="2"/>
  <c r="V109" i="2" s="1"/>
  <c r="W109" i="2" s="1"/>
  <c r="AI107" i="2"/>
  <c r="AK107" i="2" s="1"/>
  <c r="AL107" i="2" s="1"/>
  <c r="Y107" i="2"/>
  <c r="Q107" i="2"/>
  <c r="AM105" i="2"/>
  <c r="AO105" i="2" s="1"/>
  <c r="AP105" i="2" s="1"/>
  <c r="AE105" i="2"/>
  <c r="AG105" i="2" s="1"/>
  <c r="AH105" i="2" s="1"/>
  <c r="U105" i="2"/>
  <c r="AI103" i="2"/>
  <c r="AK103" i="2" s="1"/>
  <c r="AL103" i="2" s="1"/>
  <c r="Y103" i="2"/>
  <c r="Q103" i="2"/>
  <c r="AM101" i="2"/>
  <c r="AO101" i="2" s="1"/>
  <c r="AP101" i="2" s="1"/>
  <c r="AE101" i="2"/>
  <c r="AG101" i="2" s="1"/>
  <c r="AH101" i="2" s="1"/>
  <c r="U101" i="2"/>
  <c r="AI99" i="2"/>
  <c r="AK99" i="2" s="1"/>
  <c r="AL99" i="2" s="1"/>
  <c r="Y99" i="2"/>
  <c r="Q99" i="2"/>
  <c r="AM97" i="2"/>
  <c r="AO97" i="2" s="1"/>
  <c r="AP97" i="2" s="1"/>
  <c r="AE97" i="2"/>
  <c r="AG97" i="2" s="1"/>
  <c r="AH97" i="2" s="1"/>
  <c r="U97" i="2"/>
  <c r="AJ95" i="2"/>
  <c r="AM94" i="2"/>
  <c r="AO94" i="2" s="1"/>
  <c r="AP94" i="2" s="1"/>
  <c r="AE94" i="2"/>
  <c r="AG94" i="2" s="1"/>
  <c r="AH94" i="2" s="1"/>
  <c r="U94" i="2"/>
  <c r="X93" i="2"/>
  <c r="Z93" i="2" s="1"/>
  <c r="AA93" i="2" s="1"/>
  <c r="P93" i="2"/>
  <c r="R93" i="2" s="1"/>
  <c r="S93" i="2" s="1"/>
  <c r="AN91" i="2"/>
  <c r="AF91" i="2"/>
  <c r="X90" i="2"/>
  <c r="Z90" i="2" s="1"/>
  <c r="AA90" i="2" s="1"/>
  <c r="P90" i="2"/>
  <c r="R90" i="2" s="1"/>
  <c r="S90" i="2" s="1"/>
  <c r="AJ89" i="2"/>
  <c r="AM111" i="2"/>
  <c r="AO111" i="2" s="1"/>
  <c r="AP111" i="2" s="1"/>
  <c r="AE111" i="2"/>
  <c r="AG111" i="2" s="1"/>
  <c r="AH111" i="2" s="1"/>
  <c r="U111" i="2"/>
  <c r="X110" i="2"/>
  <c r="Z110" i="2" s="1"/>
  <c r="AA110" i="2" s="1"/>
  <c r="P110" i="2"/>
  <c r="R110" i="2" s="1"/>
  <c r="S110" i="2" s="1"/>
  <c r="AN108" i="2"/>
  <c r="AF108" i="2"/>
  <c r="X107" i="2"/>
  <c r="Z107" i="2" s="1"/>
  <c r="AA107" i="2" s="1"/>
  <c r="P107" i="2"/>
  <c r="R107" i="2" s="1"/>
  <c r="S107" i="2" s="1"/>
  <c r="AJ106" i="2"/>
  <c r="T105" i="2"/>
  <c r="V105" i="2" s="1"/>
  <c r="W105" i="2" s="1"/>
  <c r="AN104" i="2"/>
  <c r="AF104" i="2"/>
  <c r="X103" i="2"/>
  <c r="Z103" i="2" s="1"/>
  <c r="AA103" i="2" s="1"/>
  <c r="P103" i="2"/>
  <c r="R103" i="2" s="1"/>
  <c r="S103" i="2" s="1"/>
  <c r="AJ102" i="2"/>
  <c r="T101" i="2"/>
  <c r="V101" i="2" s="1"/>
  <c r="W101" i="2" s="1"/>
  <c r="AN110" i="2"/>
  <c r="AF110" i="2"/>
  <c r="AI109" i="2"/>
  <c r="AK109" i="2" s="1"/>
  <c r="AL109" i="2" s="1"/>
  <c r="Y109" i="2"/>
  <c r="Q109" i="2"/>
  <c r="T108" i="2"/>
  <c r="V108" i="2" s="1"/>
  <c r="W108" i="2" s="1"/>
  <c r="AN107" i="2"/>
  <c r="AF107" i="2"/>
  <c r="X106" i="2"/>
  <c r="Z106" i="2" s="1"/>
  <c r="AA106" i="2" s="1"/>
  <c r="P106" i="2"/>
  <c r="R106" i="2" s="1"/>
  <c r="S106" i="2" s="1"/>
  <c r="AJ105" i="2"/>
  <c r="T104" i="2"/>
  <c r="V104" i="2" s="1"/>
  <c r="W104" i="2" s="1"/>
  <c r="AN103" i="2"/>
  <c r="AF103" i="2"/>
  <c r="X102" i="2"/>
  <c r="Z102" i="2" s="1"/>
  <c r="AA102" i="2" s="1"/>
  <c r="P102" i="2"/>
  <c r="R102" i="2" s="1"/>
  <c r="S102" i="2" s="1"/>
  <c r="AJ101" i="2"/>
  <c r="T100" i="2"/>
  <c r="V100" i="2" s="1"/>
  <c r="W100" i="2" s="1"/>
  <c r="AN99" i="2"/>
  <c r="AF99" i="2"/>
  <c r="X98" i="2"/>
  <c r="Z98" i="2" s="1"/>
  <c r="AA98" i="2" s="1"/>
  <c r="P98" i="2"/>
  <c r="R98" i="2" s="1"/>
  <c r="S98" i="2" s="1"/>
  <c r="AJ97" i="2"/>
  <c r="T96" i="2"/>
  <c r="V96" i="2" s="1"/>
  <c r="W96" i="2" s="1"/>
  <c r="AJ94" i="2"/>
  <c r="AM93" i="2"/>
  <c r="AO93" i="2" s="1"/>
  <c r="AP93" i="2" s="1"/>
  <c r="AE93" i="2"/>
  <c r="AG93" i="2" s="1"/>
  <c r="AH93" i="2" s="1"/>
  <c r="U93" i="2"/>
  <c r="X92" i="2"/>
  <c r="Z92" i="2" s="1"/>
  <c r="AA92" i="2" s="1"/>
  <c r="P92" i="2"/>
  <c r="R92" i="2" s="1"/>
  <c r="S92" i="2" s="1"/>
  <c r="AM90" i="2"/>
  <c r="AO90" i="2" s="1"/>
  <c r="AP90" i="2" s="1"/>
  <c r="AE90" i="2"/>
  <c r="AG90" i="2" s="1"/>
  <c r="AH90" i="2" s="1"/>
  <c r="U90" i="2"/>
  <c r="AI111" i="2"/>
  <c r="AK111" i="2" s="1"/>
  <c r="AL111" i="2" s="1"/>
  <c r="T110" i="2"/>
  <c r="V110" i="2" s="1"/>
  <c r="W110" i="2" s="1"/>
  <c r="T107" i="2"/>
  <c r="V107" i="2" s="1"/>
  <c r="W107" i="2" s="1"/>
  <c r="AJ104" i="2"/>
  <c r="AM103" i="2"/>
  <c r="AO103" i="2" s="1"/>
  <c r="AP103" i="2" s="1"/>
  <c r="Y101" i="2"/>
  <c r="AJ100" i="2"/>
  <c r="AN98" i="2"/>
  <c r="AM95" i="2"/>
  <c r="AO95" i="2" s="1"/>
  <c r="AP95" i="2" s="1"/>
  <c r="X95" i="2"/>
  <c r="Z95" i="2" s="1"/>
  <c r="AA95" i="2" s="1"/>
  <c r="Y94" i="2"/>
  <c r="AM110" i="2"/>
  <c r="AO110" i="2" s="1"/>
  <c r="AP110" i="2" s="1"/>
  <c r="X109" i="2"/>
  <c r="Z109" i="2" s="1"/>
  <c r="AA109" i="2" s="1"/>
  <c r="AJ108" i="2"/>
  <c r="AM107" i="2"/>
  <c r="AO107" i="2" s="1"/>
  <c r="AP107" i="2" s="1"/>
  <c r="Y105" i="2"/>
  <c r="AE104" i="2"/>
  <c r="AG104" i="2" s="1"/>
  <c r="AH104" i="2" s="1"/>
  <c r="Q102" i="2"/>
  <c r="X101" i="2"/>
  <c r="Z101" i="2" s="1"/>
  <c r="AA101" i="2" s="1"/>
  <c r="AF100" i="2"/>
  <c r="X99" i="2"/>
  <c r="Z99" i="2" s="1"/>
  <c r="AA99" i="2" s="1"/>
  <c r="AJ98" i="2"/>
  <c r="U98" i="2"/>
  <c r="AI97" i="2"/>
  <c r="AK97" i="2" s="1"/>
  <c r="AL97" i="2" s="1"/>
  <c r="T97" i="2"/>
  <c r="V97" i="2" s="1"/>
  <c r="W97" i="2" s="1"/>
  <c r="AJ96" i="2"/>
  <c r="U96" i="2"/>
  <c r="X94" i="2"/>
  <c r="Z94" i="2" s="1"/>
  <c r="AA94" i="2" s="1"/>
  <c r="AN93" i="2"/>
  <c r="AE92" i="2"/>
  <c r="AG92" i="2" s="1"/>
  <c r="AH92" i="2" s="1"/>
  <c r="AJ91" i="2"/>
  <c r="X91" i="2"/>
  <c r="Z91" i="2" s="1"/>
  <c r="AA91" i="2" s="1"/>
  <c r="AI89" i="2"/>
  <c r="AK89" i="2" s="1"/>
  <c r="AL89" i="2" s="1"/>
  <c r="Y89" i="2"/>
  <c r="Q89" i="2"/>
  <c r="AM87" i="2"/>
  <c r="AO87" i="2" s="1"/>
  <c r="AP87" i="2" s="1"/>
  <c r="AE87" i="2"/>
  <c r="AG87" i="2" s="1"/>
  <c r="AH87" i="2" s="1"/>
  <c r="U87" i="2"/>
  <c r="AI85" i="2"/>
  <c r="AK85" i="2" s="1"/>
  <c r="AL85" i="2" s="1"/>
  <c r="Y85" i="2"/>
  <c r="Q85" i="2"/>
  <c r="AM83" i="2"/>
  <c r="AO83" i="2" s="1"/>
  <c r="AP83" i="2" s="1"/>
  <c r="AE83" i="2"/>
  <c r="AG83" i="2" s="1"/>
  <c r="AH83" i="2" s="1"/>
  <c r="U83" i="2"/>
  <c r="AI81" i="2"/>
  <c r="AK81" i="2" s="1"/>
  <c r="AL81" i="2" s="1"/>
  <c r="Y81" i="2"/>
  <c r="Q81" i="2"/>
  <c r="AM79" i="2"/>
  <c r="AO79" i="2" s="1"/>
  <c r="AP79" i="2" s="1"/>
  <c r="AE79" i="2"/>
  <c r="AG79" i="2" s="1"/>
  <c r="AH79" i="2" s="1"/>
  <c r="U79" i="2"/>
  <c r="X78" i="2"/>
  <c r="Z78" i="2" s="1"/>
  <c r="AA78" i="2" s="1"/>
  <c r="P78" i="2"/>
  <c r="R78" i="2" s="1"/>
  <c r="S78" i="2" s="1"/>
  <c r="AN76" i="2"/>
  <c r="AF76" i="2"/>
  <c r="AI75" i="2"/>
  <c r="AK75" i="2" s="1"/>
  <c r="AL75" i="2" s="1"/>
  <c r="Y75" i="2"/>
  <c r="Q75" i="2"/>
  <c r="T74" i="2"/>
  <c r="V74" i="2" s="1"/>
  <c r="W74" i="2" s="1"/>
  <c r="AJ72" i="2"/>
  <c r="AM71" i="2"/>
  <c r="AO71" i="2" s="1"/>
  <c r="AP71" i="2" s="1"/>
  <c r="AE71" i="2"/>
  <c r="AG71" i="2" s="1"/>
  <c r="AH71" i="2" s="1"/>
  <c r="U71" i="2"/>
  <c r="X70" i="2"/>
  <c r="Z70" i="2" s="1"/>
  <c r="AA70" i="2" s="1"/>
  <c r="P70" i="2"/>
  <c r="R70" i="2" s="1"/>
  <c r="S70" i="2" s="1"/>
  <c r="AN68" i="2"/>
  <c r="AF68" i="2"/>
  <c r="X67" i="2"/>
  <c r="Z67" i="2" s="1"/>
  <c r="AA67" i="2" s="1"/>
  <c r="P67" i="2"/>
  <c r="R67" i="2" s="1"/>
  <c r="S67" i="2" s="1"/>
  <c r="AJ66" i="2"/>
  <c r="T65" i="2"/>
  <c r="V65" i="2" s="1"/>
  <c r="W65" i="2" s="1"/>
  <c r="AN64" i="2"/>
  <c r="AF64" i="2"/>
  <c r="Y111" i="2"/>
  <c r="AN106" i="2"/>
  <c r="AE103" i="2"/>
  <c r="AG103" i="2" s="1"/>
  <c r="AH103" i="2" s="1"/>
  <c r="AI102" i="2"/>
  <c r="AK102" i="2" s="1"/>
  <c r="AL102" i="2" s="1"/>
  <c r="Q101" i="2"/>
  <c r="AM99" i="2"/>
  <c r="AO99" i="2" s="1"/>
  <c r="AP99" i="2" s="1"/>
  <c r="U99" i="2"/>
  <c r="Q98" i="2"/>
  <c r="Q97" i="2"/>
  <c r="AF96" i="2"/>
  <c r="T95" i="2"/>
  <c r="V95" i="2" s="1"/>
  <c r="W95" i="2" s="1"/>
  <c r="AI94" i="2"/>
  <c r="AK94" i="2" s="1"/>
  <c r="AL94" i="2" s="1"/>
  <c r="T94" i="2"/>
  <c r="V94" i="2" s="1"/>
  <c r="W94" i="2" s="1"/>
  <c r="AM92" i="2"/>
  <c r="AO92" i="2" s="1"/>
  <c r="AP92" i="2" s="1"/>
  <c r="U91" i="2"/>
  <c r="AI88" i="2"/>
  <c r="AK88" i="2" s="1"/>
  <c r="AL88" i="2" s="1"/>
  <c r="Y88" i="2"/>
  <c r="Q88" i="2"/>
  <c r="AM86" i="2"/>
  <c r="AO86" i="2" s="1"/>
  <c r="AP86" i="2" s="1"/>
  <c r="AE86" i="2"/>
  <c r="AG86" i="2" s="1"/>
  <c r="AH86" i="2" s="1"/>
  <c r="U86" i="2"/>
  <c r="AI84" i="2"/>
  <c r="AK84" i="2" s="1"/>
  <c r="AL84" i="2" s="1"/>
  <c r="Y84" i="2"/>
  <c r="Q84" i="2"/>
  <c r="AM82" i="2"/>
  <c r="AO82" i="2" s="1"/>
  <c r="AP82" i="2" s="1"/>
  <c r="AE82" i="2"/>
  <c r="AG82" i="2" s="1"/>
  <c r="AH82" i="2" s="1"/>
  <c r="U82" i="2"/>
  <c r="AI80" i="2"/>
  <c r="AK80" i="2" s="1"/>
  <c r="AL80" i="2" s="1"/>
  <c r="Y80" i="2"/>
  <c r="Q80" i="2"/>
  <c r="AN78" i="2"/>
  <c r="AF78" i="2"/>
  <c r="AI77" i="2"/>
  <c r="AK77" i="2" s="1"/>
  <c r="AL77" i="2" s="1"/>
  <c r="Y77" i="2"/>
  <c r="Q77" i="2"/>
  <c r="T76" i="2"/>
  <c r="V76" i="2" s="1"/>
  <c r="W76" i="2" s="1"/>
  <c r="AJ74" i="2"/>
  <c r="AM73" i="2"/>
  <c r="AO73" i="2" s="1"/>
  <c r="AP73" i="2" s="1"/>
  <c r="AE73" i="2"/>
  <c r="AG73" i="2" s="1"/>
  <c r="AH73" i="2" s="1"/>
  <c r="U73" i="2"/>
  <c r="X72" i="2"/>
  <c r="Z72" i="2" s="1"/>
  <c r="AA72" i="2" s="1"/>
  <c r="P72" i="2"/>
  <c r="R72" i="2" s="1"/>
  <c r="S72" i="2" s="1"/>
  <c r="AN70" i="2"/>
  <c r="AF70" i="2"/>
  <c r="AI69" i="2"/>
  <c r="AK69" i="2" s="1"/>
  <c r="AL69" i="2" s="1"/>
  <c r="Y69" i="2"/>
  <c r="Q69" i="2"/>
  <c r="T68" i="2"/>
  <c r="V68" i="2" s="1"/>
  <c r="W68" i="2" s="1"/>
  <c r="AN67" i="2"/>
  <c r="AF67" i="2"/>
  <c r="X66" i="2"/>
  <c r="Z66" i="2" s="1"/>
  <c r="AA66" i="2" s="1"/>
  <c r="P66" i="2"/>
  <c r="R66" i="2" s="1"/>
  <c r="S66" i="2" s="1"/>
  <c r="AJ65" i="2"/>
  <c r="T64" i="2"/>
  <c r="V64" i="2" s="1"/>
  <c r="W64" i="2" s="1"/>
  <c r="AN63" i="2"/>
  <c r="AF63" i="2"/>
  <c r="AI62" i="2"/>
  <c r="AK62" i="2" s="1"/>
  <c r="AL62" i="2" s="1"/>
  <c r="Y62" i="2"/>
  <c r="Q62" i="2"/>
  <c r="T61" i="2"/>
  <c r="V61" i="2" s="1"/>
  <c r="W61" i="2" s="1"/>
  <c r="Q111" i="2"/>
  <c r="AF106" i="2"/>
  <c r="AI105" i="2"/>
  <c r="AK105" i="2" s="1"/>
  <c r="AL105" i="2" s="1"/>
  <c r="AM104" i="2"/>
  <c r="AO104" i="2" s="1"/>
  <c r="AP104" i="2" s="1"/>
  <c r="U103" i="2"/>
  <c r="Y102" i="2"/>
  <c r="AM100" i="2"/>
  <c r="AO100" i="2" s="1"/>
  <c r="AP100" i="2" s="1"/>
  <c r="U100" i="2"/>
  <c r="Y98" i="2"/>
  <c r="Y97" i="2"/>
  <c r="AN96" i="2"/>
  <c r="P94" i="2"/>
  <c r="R94" i="2" s="1"/>
  <c r="S94" i="2" s="1"/>
  <c r="AF93" i="2"/>
  <c r="AI92" i="2"/>
  <c r="AK92" i="2" s="1"/>
  <c r="AL92" i="2" s="1"/>
  <c r="Q91" i="2"/>
  <c r="AI90" i="2"/>
  <c r="AK90" i="2" s="1"/>
  <c r="AL90" i="2" s="1"/>
  <c r="AM89" i="2"/>
  <c r="AO89" i="2" s="1"/>
  <c r="AP89" i="2" s="1"/>
  <c r="T89" i="2"/>
  <c r="V89" i="2" s="1"/>
  <c r="W89" i="2" s="1"/>
  <c r="AN88" i="2"/>
  <c r="AF88" i="2"/>
  <c r="X87" i="2"/>
  <c r="Z87" i="2" s="1"/>
  <c r="AA87" i="2" s="1"/>
  <c r="P87" i="2"/>
  <c r="R87" i="2" s="1"/>
  <c r="S87" i="2" s="1"/>
  <c r="AJ86" i="2"/>
  <c r="T85" i="2"/>
  <c r="V85" i="2" s="1"/>
  <c r="W85" i="2" s="1"/>
  <c r="AN84" i="2"/>
  <c r="AF84" i="2"/>
  <c r="X83" i="2"/>
  <c r="Z83" i="2" s="1"/>
  <c r="AA83" i="2" s="1"/>
  <c r="P83" i="2"/>
  <c r="R83" i="2" s="1"/>
  <c r="S83" i="2" s="1"/>
  <c r="AJ82" i="2"/>
  <c r="T81" i="2"/>
  <c r="V81" i="2" s="1"/>
  <c r="W81" i="2" s="1"/>
  <c r="AN80" i="2"/>
  <c r="AF80" i="2"/>
  <c r="X79" i="2"/>
  <c r="Z79" i="2" s="1"/>
  <c r="AA79" i="2" s="1"/>
  <c r="P79" i="2"/>
  <c r="R79" i="2" s="1"/>
  <c r="S79" i="2" s="1"/>
  <c r="AN77" i="2"/>
  <c r="AF77" i="2"/>
  <c r="AI76" i="2"/>
  <c r="AK76" i="2" s="1"/>
  <c r="AL76" i="2" s="1"/>
  <c r="Y76" i="2"/>
  <c r="Q76" i="2"/>
  <c r="T75" i="2"/>
  <c r="V75" i="2" s="1"/>
  <c r="W75" i="2" s="1"/>
  <c r="AJ73" i="2"/>
  <c r="AM72" i="2"/>
  <c r="AO72" i="2" s="1"/>
  <c r="AP72" i="2" s="1"/>
  <c r="AE72" i="2"/>
  <c r="AG72" i="2" s="1"/>
  <c r="AH72" i="2" s="1"/>
  <c r="U72" i="2"/>
  <c r="X71" i="2"/>
  <c r="Z71" i="2" s="1"/>
  <c r="AA71" i="2" s="1"/>
  <c r="P71" i="2"/>
  <c r="R71" i="2" s="1"/>
  <c r="S71" i="2" s="1"/>
  <c r="AN69" i="2"/>
  <c r="AF69" i="2"/>
  <c r="AI68" i="2"/>
  <c r="AK68" i="2" s="1"/>
  <c r="AL68" i="2" s="1"/>
  <c r="Y68" i="2"/>
  <c r="Q68" i="2"/>
  <c r="AM66" i="2"/>
  <c r="AO66" i="2" s="1"/>
  <c r="AP66" i="2" s="1"/>
  <c r="AE66" i="2"/>
  <c r="AG66" i="2" s="1"/>
  <c r="AH66" i="2" s="1"/>
  <c r="U66" i="2"/>
  <c r="AI64" i="2"/>
  <c r="AK64" i="2" s="1"/>
  <c r="AL64" i="2" s="1"/>
  <c r="Y64" i="2"/>
  <c r="Q64" i="2"/>
  <c r="AN62" i="2"/>
  <c r="AF62" i="2"/>
  <c r="AI61" i="2"/>
  <c r="AK61" i="2" s="1"/>
  <c r="AL61" i="2" s="1"/>
  <c r="Y61" i="2"/>
  <c r="Q61" i="2"/>
  <c r="AJ109" i="2"/>
  <c r="AI106" i="2"/>
  <c r="AK106" i="2" s="1"/>
  <c r="AL106" i="2" s="1"/>
  <c r="Q105" i="2"/>
  <c r="T99" i="2"/>
  <c r="V99" i="2" s="1"/>
  <c r="W99" i="2" s="1"/>
  <c r="P97" i="2"/>
  <c r="R97" i="2" s="1"/>
  <c r="S97" i="2" s="1"/>
  <c r="Q96" i="2"/>
  <c r="Q95" i="2"/>
  <c r="AJ92" i="2"/>
  <c r="Q92" i="2"/>
  <c r="AE89" i="2"/>
  <c r="AG89" i="2" s="1"/>
  <c r="AH89" i="2" s="1"/>
  <c r="P89" i="2"/>
  <c r="R89" i="2" s="1"/>
  <c r="S89" i="2" s="1"/>
  <c r="AE88" i="2"/>
  <c r="AG88" i="2" s="1"/>
  <c r="AH88" i="2" s="1"/>
  <c r="P88" i="2"/>
  <c r="R88" i="2" s="1"/>
  <c r="S88" i="2" s="1"/>
  <c r="AF87" i="2"/>
  <c r="Q87" i="2"/>
  <c r="AF86" i="2"/>
  <c r="Q86" i="2"/>
  <c r="AF85" i="2"/>
  <c r="T80" i="2"/>
  <c r="V80" i="2" s="1"/>
  <c r="W80" i="2" s="1"/>
  <c r="AI79" i="2"/>
  <c r="AK79" i="2" s="1"/>
  <c r="AL79" i="2" s="1"/>
  <c r="T79" i="2"/>
  <c r="V79" i="2" s="1"/>
  <c r="W79" i="2" s="1"/>
  <c r="AJ78" i="2"/>
  <c r="U78" i="2"/>
  <c r="AM77" i="2"/>
  <c r="AO77" i="2" s="1"/>
  <c r="AP77" i="2" s="1"/>
  <c r="X77" i="2"/>
  <c r="Z77" i="2" s="1"/>
  <c r="AA77" i="2" s="1"/>
  <c r="AE75" i="2"/>
  <c r="AG75" i="2" s="1"/>
  <c r="AH75" i="2" s="1"/>
  <c r="P75" i="2"/>
  <c r="R75" i="2" s="1"/>
  <c r="S75" i="2" s="1"/>
  <c r="AF74" i="2"/>
  <c r="Q74" i="2"/>
  <c r="AI72" i="2"/>
  <c r="AK72" i="2" s="1"/>
  <c r="AL72" i="2" s="1"/>
  <c r="T72" i="2"/>
  <c r="V72" i="2" s="1"/>
  <c r="W72" i="2" s="1"/>
  <c r="AJ71" i="2"/>
  <c r="AM69" i="2"/>
  <c r="AO69" i="2" s="1"/>
  <c r="AP69" i="2" s="1"/>
  <c r="X69" i="2"/>
  <c r="Z69" i="2" s="1"/>
  <c r="AA69" i="2" s="1"/>
  <c r="AE63" i="2"/>
  <c r="AG63" i="2" s="1"/>
  <c r="AH63" i="2" s="1"/>
  <c r="X62" i="2"/>
  <c r="Z62" i="2" s="1"/>
  <c r="AA62" i="2" s="1"/>
  <c r="AF61" i="2"/>
  <c r="U108" i="2"/>
  <c r="P105" i="2"/>
  <c r="R105" i="2" s="1"/>
  <c r="S105" i="2" s="1"/>
  <c r="AI101" i="2"/>
  <c r="AK101" i="2" s="1"/>
  <c r="AL101" i="2" s="1"/>
  <c r="P99" i="2"/>
  <c r="R99" i="2" s="1"/>
  <c r="S99" i="2" s="1"/>
  <c r="P95" i="2"/>
  <c r="R95" i="2" s="1"/>
  <c r="S95" i="2" s="1"/>
  <c r="Y91" i="2"/>
  <c r="AJ90" i="2"/>
  <c r="Q90" i="2"/>
  <c r="P86" i="2"/>
  <c r="R86" i="2" s="1"/>
  <c r="S86" i="2" s="1"/>
  <c r="AE85" i="2"/>
  <c r="AG85" i="2" s="1"/>
  <c r="AH85" i="2" s="1"/>
  <c r="P85" i="2"/>
  <c r="R85" i="2" s="1"/>
  <c r="S85" i="2" s="1"/>
  <c r="AE84" i="2"/>
  <c r="AG84" i="2" s="1"/>
  <c r="AH84" i="2" s="1"/>
  <c r="P84" i="2"/>
  <c r="R84" i="2" s="1"/>
  <c r="S84" i="2" s="1"/>
  <c r="AF83" i="2"/>
  <c r="Q83" i="2"/>
  <c r="AF82" i="2"/>
  <c r="Q82" i="2"/>
  <c r="AF81" i="2"/>
  <c r="AI78" i="2"/>
  <c r="AK78" i="2" s="1"/>
  <c r="AL78" i="2" s="1"/>
  <c r="T78" i="2"/>
  <c r="V78" i="2" s="1"/>
  <c r="W78" i="2" s="1"/>
  <c r="AM76" i="2"/>
  <c r="AO76" i="2" s="1"/>
  <c r="AP76" i="2" s="1"/>
  <c r="X76" i="2"/>
  <c r="Z76" i="2" s="1"/>
  <c r="AA76" i="2" s="1"/>
  <c r="AE74" i="2"/>
  <c r="AG74" i="2" s="1"/>
  <c r="AH74" i="2" s="1"/>
  <c r="P74" i="2"/>
  <c r="R74" i="2" s="1"/>
  <c r="S74" i="2" s="1"/>
  <c r="AF73" i="2"/>
  <c r="Q73" i="2"/>
  <c r="AI71" i="2"/>
  <c r="AK71" i="2" s="1"/>
  <c r="AL71" i="2" s="1"/>
  <c r="T71" i="2"/>
  <c r="V71" i="2" s="1"/>
  <c r="W71" i="2" s="1"/>
  <c r="AJ70" i="2"/>
  <c r="U70" i="2"/>
  <c r="AM68" i="2"/>
  <c r="AO68" i="2" s="1"/>
  <c r="AP68" i="2" s="1"/>
  <c r="X68" i="2"/>
  <c r="Z68" i="2" s="1"/>
  <c r="AA68" i="2" s="1"/>
  <c r="AM67" i="2"/>
  <c r="AO67" i="2" s="1"/>
  <c r="AP67" i="2" s="1"/>
  <c r="Y67" i="2"/>
  <c r="AN66" i="2"/>
  <c r="Y66" i="2"/>
  <c r="AN65" i="2"/>
  <c r="Y65" i="2"/>
  <c r="Q63" i="2"/>
  <c r="AJ62" i="2"/>
  <c r="AE61" i="2"/>
  <c r="AG61" i="2" s="1"/>
  <c r="AH61" i="2" s="1"/>
  <c r="Y106" i="2"/>
  <c r="T103" i="2"/>
  <c r="V103" i="2" s="1"/>
  <c r="W103" i="2" s="1"/>
  <c r="AM96" i="2"/>
  <c r="AO96" i="2" s="1"/>
  <c r="AP96" i="2" s="1"/>
  <c r="AN95" i="2"/>
  <c r="Q94" i="2"/>
  <c r="T93" i="2"/>
  <c r="V93" i="2" s="1"/>
  <c r="W93" i="2" s="1"/>
  <c r="AF92" i="2"/>
  <c r="P82" i="2"/>
  <c r="R82" i="2" s="1"/>
  <c r="S82" i="2" s="1"/>
  <c r="AE81" i="2"/>
  <c r="AG81" i="2" s="1"/>
  <c r="AH81" i="2" s="1"/>
  <c r="P81" i="2"/>
  <c r="R81" i="2" s="1"/>
  <c r="S81" i="2" s="1"/>
  <c r="AE80" i="2"/>
  <c r="AG80" i="2" s="1"/>
  <c r="AH80" i="2" s="1"/>
  <c r="P80" i="2"/>
  <c r="R80" i="2" s="1"/>
  <c r="S80" i="2" s="1"/>
  <c r="AF79" i="2"/>
  <c r="Q79" i="2"/>
  <c r="AJ77" i="2"/>
  <c r="U77" i="2"/>
  <c r="AN75" i="2"/>
  <c r="P73" i="2"/>
  <c r="R73" i="2" s="1"/>
  <c r="S73" i="2" s="1"/>
  <c r="AF72" i="2"/>
  <c r="Q72" i="2"/>
  <c r="AI70" i="2"/>
  <c r="AK70" i="2" s="1"/>
  <c r="AL70" i="2" s="1"/>
  <c r="T70" i="2"/>
  <c r="V70" i="2" s="1"/>
  <c r="W70" i="2" s="1"/>
  <c r="AJ69" i="2"/>
  <c r="U69" i="2"/>
  <c r="AM65" i="2"/>
  <c r="AO65" i="2" s="1"/>
  <c r="AP65" i="2" s="1"/>
  <c r="X65" i="2"/>
  <c r="Z65" i="2" s="1"/>
  <c r="AA65" i="2" s="1"/>
  <c r="AM64" i="2"/>
  <c r="AO64" i="2" s="1"/>
  <c r="AP64" i="2" s="1"/>
  <c r="X64" i="2"/>
  <c r="Z64" i="2" s="1"/>
  <c r="AA64" i="2" s="1"/>
  <c r="AM63" i="2"/>
  <c r="AO63" i="2" s="1"/>
  <c r="AP63" i="2" s="1"/>
  <c r="P63" i="2"/>
  <c r="R63" i="2" s="1"/>
  <c r="S63" i="2" s="1"/>
  <c r="U62" i="2"/>
  <c r="AN61" i="2"/>
  <c r="P61" i="2"/>
  <c r="R61" i="2" s="1"/>
  <c r="S61" i="2" s="1"/>
  <c r="AE110" i="2"/>
  <c r="AG110" i="2" s="1"/>
  <c r="AH110" i="2" s="1"/>
  <c r="P109" i="2"/>
  <c r="R109" i="2" s="1"/>
  <c r="S109" i="2" s="1"/>
  <c r="Q106" i="2"/>
  <c r="AN102" i="2"/>
  <c r="AI98" i="2"/>
  <c r="AK98" i="2" s="1"/>
  <c r="AL98" i="2" s="1"/>
  <c r="AI96" i="2"/>
  <c r="AK96" i="2" s="1"/>
  <c r="AL96" i="2" s="1"/>
  <c r="AI95" i="2"/>
  <c r="AK95" i="2" s="1"/>
  <c r="AL95" i="2" s="1"/>
  <c r="AM91" i="2"/>
  <c r="AO91" i="2" s="1"/>
  <c r="AP91" i="2" s="1"/>
  <c r="T91" i="2"/>
  <c r="V91" i="2" s="1"/>
  <c r="W91" i="2" s="1"/>
  <c r="AF90" i="2"/>
  <c r="AN89" i="2"/>
  <c r="X89" i="2"/>
  <c r="Z89" i="2" s="1"/>
  <c r="AA89" i="2" s="1"/>
  <c r="AM88" i="2"/>
  <c r="AO88" i="2" s="1"/>
  <c r="AP88" i="2" s="1"/>
  <c r="X88" i="2"/>
  <c r="Z88" i="2" s="1"/>
  <c r="AA88" i="2" s="1"/>
  <c r="AN87" i="2"/>
  <c r="Y87" i="2"/>
  <c r="AN86" i="2"/>
  <c r="Y86" i="2"/>
  <c r="AN85" i="2"/>
  <c r="AE78" i="2"/>
  <c r="AG78" i="2" s="1"/>
  <c r="AH78" i="2" s="1"/>
  <c r="Q78" i="2"/>
  <c r="T77" i="2"/>
  <c r="V77" i="2" s="1"/>
  <c r="W77" i="2" s="1"/>
  <c r="AJ76" i="2"/>
  <c r="U76" i="2"/>
  <c r="AM75" i="2"/>
  <c r="AO75" i="2" s="1"/>
  <c r="AP75" i="2" s="1"/>
  <c r="X75" i="2"/>
  <c r="Z75" i="2" s="1"/>
  <c r="AA75" i="2" s="1"/>
  <c r="AN74" i="2"/>
  <c r="Y74" i="2"/>
  <c r="AF71" i="2"/>
  <c r="Q71" i="2"/>
  <c r="T69" i="2"/>
  <c r="V69" i="2" s="1"/>
  <c r="W69" i="2" s="1"/>
  <c r="AJ68" i="2"/>
  <c r="U68" i="2"/>
  <c r="AJ67" i="2"/>
  <c r="U67" i="2"/>
  <c r="Y63" i="2"/>
  <c r="T62" i="2"/>
  <c r="V62" i="2" s="1"/>
  <c r="W62" i="2" s="1"/>
  <c r="AM61" i="2"/>
  <c r="AO61" i="2" s="1"/>
  <c r="AP61" i="2" s="1"/>
  <c r="AJ111" i="2"/>
  <c r="U110" i="2"/>
  <c r="AF102" i="2"/>
  <c r="AN100" i="2"/>
  <c r="AE95" i="2"/>
  <c r="AG95" i="2" s="1"/>
  <c r="AH95" i="2" s="1"/>
  <c r="AJ93" i="2"/>
  <c r="AI91" i="2"/>
  <c r="AK91" i="2" s="1"/>
  <c r="AL91" i="2" s="1"/>
  <c r="P91" i="2"/>
  <c r="R91" i="2" s="1"/>
  <c r="S91" i="2" s="1"/>
  <c r="Y90" i="2"/>
  <c r="U89" i="2"/>
  <c r="AJ88" i="2"/>
  <c r="U88" i="2"/>
  <c r="AJ87" i="2"/>
  <c r="X82" i="2"/>
  <c r="Z82" i="2" s="1"/>
  <c r="AA82" i="2" s="1"/>
  <c r="AM81" i="2"/>
  <c r="AO81" i="2" s="1"/>
  <c r="AP81" i="2" s="1"/>
  <c r="X81" i="2"/>
  <c r="Z81" i="2" s="1"/>
  <c r="AA81" i="2" s="1"/>
  <c r="AM80" i="2"/>
  <c r="AO80" i="2" s="1"/>
  <c r="AP80" i="2" s="1"/>
  <c r="X80" i="2"/>
  <c r="Z80" i="2" s="1"/>
  <c r="AA80" i="2" s="1"/>
  <c r="AN79" i="2"/>
  <c r="Y79" i="2"/>
  <c r="AE77" i="2"/>
  <c r="AG77" i="2" s="1"/>
  <c r="AH77" i="2" s="1"/>
  <c r="P77" i="2"/>
  <c r="R77" i="2" s="1"/>
  <c r="S77" i="2" s="1"/>
  <c r="AJ75" i="2"/>
  <c r="U75" i="2"/>
  <c r="X73" i="2"/>
  <c r="Z73" i="2" s="1"/>
  <c r="AA73" i="2" s="1"/>
  <c r="AN72" i="2"/>
  <c r="Y72" i="2"/>
  <c r="AE69" i="2"/>
  <c r="AG69" i="2" s="1"/>
  <c r="AH69" i="2" s="1"/>
  <c r="P69" i="2"/>
  <c r="R69" i="2" s="1"/>
  <c r="S69" i="2" s="1"/>
  <c r="AM108" i="2"/>
  <c r="AO108" i="2" s="1"/>
  <c r="AP108" i="2" s="1"/>
  <c r="U107" i="2"/>
  <c r="AE99" i="2"/>
  <c r="AG99" i="2" s="1"/>
  <c r="AH99" i="2" s="1"/>
  <c r="X97" i="2"/>
  <c r="Z97" i="2" s="1"/>
  <c r="AA97" i="2" s="1"/>
  <c r="Y96" i="2"/>
  <c r="Y95" i="2"/>
  <c r="AN92" i="2"/>
  <c r="U92" i="2"/>
  <c r="T88" i="2"/>
  <c r="V88" i="2" s="1"/>
  <c r="W88" i="2" s="1"/>
  <c r="AI87" i="2"/>
  <c r="AK87" i="2" s="1"/>
  <c r="AL87" i="2" s="1"/>
  <c r="T87" i="2"/>
  <c r="V87" i="2" s="1"/>
  <c r="W87" i="2" s="1"/>
  <c r="AI86" i="2"/>
  <c r="AK86" i="2" s="1"/>
  <c r="AL86" i="2" s="1"/>
  <c r="T86" i="2"/>
  <c r="V86" i="2" s="1"/>
  <c r="W86" i="2" s="1"/>
  <c r="AJ85" i="2"/>
  <c r="U85" i="2"/>
  <c r="AJ84" i="2"/>
  <c r="U84" i="2"/>
  <c r="AJ83" i="2"/>
  <c r="AM78" i="2"/>
  <c r="AO78" i="2" s="1"/>
  <c r="AP78" i="2" s="1"/>
  <c r="Y78" i="2"/>
  <c r="AE76" i="2"/>
  <c r="AG76" i="2" s="1"/>
  <c r="AH76" i="2" s="1"/>
  <c r="P76" i="2"/>
  <c r="R76" i="2" s="1"/>
  <c r="S76" i="2" s="1"/>
  <c r="AI74" i="2"/>
  <c r="AK74" i="2" s="1"/>
  <c r="AL74" i="2" s="1"/>
  <c r="U74" i="2"/>
  <c r="AN71" i="2"/>
  <c r="Y71" i="2"/>
  <c r="AE68" i="2"/>
  <c r="AG68" i="2" s="1"/>
  <c r="AH68" i="2" s="1"/>
  <c r="P68" i="2"/>
  <c r="R68" i="2" s="1"/>
  <c r="S68" i="2" s="1"/>
  <c r="AE67" i="2"/>
  <c r="AG67" i="2" s="1"/>
  <c r="AH67" i="2" s="1"/>
  <c r="Q67" i="2"/>
  <c r="AF66" i="2"/>
  <c r="Q66" i="2"/>
  <c r="AF65" i="2"/>
  <c r="Q65" i="2"/>
  <c r="U63" i="2"/>
  <c r="AM62" i="2"/>
  <c r="AO62" i="2" s="1"/>
  <c r="AP62" i="2" s="1"/>
  <c r="P62" i="2"/>
  <c r="R62" i="2" s="1"/>
  <c r="S62" i="2" s="1"/>
  <c r="T111" i="2"/>
  <c r="V111" i="2" s="1"/>
  <c r="W111" i="2" s="1"/>
  <c r="AE107" i="2"/>
  <c r="AG107" i="2" s="1"/>
  <c r="AH107" i="2" s="1"/>
  <c r="P101" i="2"/>
  <c r="R101" i="2" s="1"/>
  <c r="S101" i="2" s="1"/>
  <c r="AE96" i="2"/>
  <c r="AG96" i="2" s="1"/>
  <c r="AH96" i="2" s="1"/>
  <c r="AM84" i="2"/>
  <c r="AO84" i="2" s="1"/>
  <c r="AP84" i="2" s="1"/>
  <c r="AN82" i="2"/>
  <c r="AN73" i="2"/>
  <c r="Q70" i="2"/>
  <c r="T66" i="2"/>
  <c r="V66" i="2" s="1"/>
  <c r="W66" i="2" s="1"/>
  <c r="U64" i="2"/>
  <c r="AE100" i="2"/>
  <c r="AG100" i="2" s="1"/>
  <c r="AH100" i="2" s="1"/>
  <c r="AN90" i="2"/>
  <c r="AI82" i="2"/>
  <c r="AK82" i="2" s="1"/>
  <c r="AL82" i="2" s="1"/>
  <c r="AJ80" i="2"/>
  <c r="AF75" i="2"/>
  <c r="AI73" i="2"/>
  <c r="AK73" i="2" s="1"/>
  <c r="AL73" i="2" s="1"/>
  <c r="P64" i="2"/>
  <c r="R64" i="2" s="1"/>
  <c r="S64" i="2" s="1"/>
  <c r="AE64" i="2"/>
  <c r="AG64" i="2" s="1"/>
  <c r="AH64" i="2" s="1"/>
  <c r="AF95" i="2"/>
  <c r="X86" i="2"/>
  <c r="Z86" i="2" s="1"/>
  <c r="AA86" i="2" s="1"/>
  <c r="X84" i="2"/>
  <c r="Z84" i="2" s="1"/>
  <c r="AA84" i="2" s="1"/>
  <c r="Y82" i="2"/>
  <c r="Y73" i="2"/>
  <c r="AI67" i="2"/>
  <c r="AK67" i="2" s="1"/>
  <c r="AL67" i="2" s="1"/>
  <c r="AI65" i="2"/>
  <c r="AK65" i="2" s="1"/>
  <c r="AL65" i="2" s="1"/>
  <c r="AJ63" i="2"/>
  <c r="AJ61" i="2"/>
  <c r="X105" i="2"/>
  <c r="Z105" i="2" s="1"/>
  <c r="AA105" i="2" s="1"/>
  <c r="U95" i="2"/>
  <c r="Y92" i="2"/>
  <c r="T90" i="2"/>
  <c r="V90" i="2" s="1"/>
  <c r="W90" i="2" s="1"/>
  <c r="T84" i="2"/>
  <c r="V84" i="2" s="1"/>
  <c r="W84" i="2" s="1"/>
  <c r="T82" i="2"/>
  <c r="V82" i="2" s="1"/>
  <c r="W82" i="2" s="1"/>
  <c r="U80" i="2"/>
  <c r="T73" i="2"/>
  <c r="V73" i="2" s="1"/>
  <c r="W73" i="2" s="1"/>
  <c r="AE65" i="2"/>
  <c r="AG65" i="2" s="1"/>
  <c r="AH65" i="2" s="1"/>
  <c r="AI63" i="2"/>
  <c r="AK63" i="2" s="1"/>
  <c r="AL63" i="2" s="1"/>
  <c r="AE62" i="2"/>
  <c r="AG62" i="2" s="1"/>
  <c r="AH62" i="2" s="1"/>
  <c r="AE108" i="2"/>
  <c r="AG108" i="2" s="1"/>
  <c r="AH108" i="2" s="1"/>
  <c r="U81" i="2"/>
  <c r="Y70" i="2"/>
  <c r="T63" i="2"/>
  <c r="V63" i="2" s="1"/>
  <c r="W63" i="2" s="1"/>
  <c r="U104" i="2"/>
  <c r="AF98" i="2"/>
  <c r="T92" i="2"/>
  <c r="V92" i="2" s="1"/>
  <c r="W92" i="2" s="1"/>
  <c r="AM85" i="2"/>
  <c r="AO85" i="2" s="1"/>
  <c r="AP85" i="2" s="1"/>
  <c r="AN83" i="2"/>
  <c r="AN81" i="2"/>
  <c r="AM74" i="2"/>
  <c r="AO74" i="2" s="1"/>
  <c r="AP74" i="2" s="1"/>
  <c r="T67" i="2"/>
  <c r="V67" i="2" s="1"/>
  <c r="W67" i="2" s="1"/>
  <c r="U65" i="2"/>
  <c r="X61" i="2"/>
  <c r="Z61" i="2" s="1"/>
  <c r="AA61" i="2" s="1"/>
  <c r="AF89" i="2"/>
  <c r="AI83" i="2"/>
  <c r="AK83" i="2" s="1"/>
  <c r="AL83" i="2" s="1"/>
  <c r="AJ81" i="2"/>
  <c r="AJ79" i="2"/>
  <c r="AM70" i="2"/>
  <c r="AO70" i="2" s="1"/>
  <c r="AP70" i="2" s="1"/>
  <c r="P65" i="2"/>
  <c r="R65" i="2" s="1"/>
  <c r="S65" i="2" s="1"/>
  <c r="X63" i="2"/>
  <c r="Z63" i="2" s="1"/>
  <c r="AA63" i="2" s="1"/>
  <c r="X85" i="2"/>
  <c r="Z85" i="2" s="1"/>
  <c r="AA85" i="2" s="1"/>
  <c r="Y83" i="2"/>
  <c r="X74" i="2"/>
  <c r="Z74" i="2" s="1"/>
  <c r="AA74" i="2" s="1"/>
  <c r="AE70" i="2"/>
  <c r="AG70" i="2" s="1"/>
  <c r="AH70" i="2" s="1"/>
  <c r="AI66" i="2"/>
  <c r="AK66" i="2" s="1"/>
  <c r="AL66" i="2" s="1"/>
  <c r="AJ64" i="2"/>
  <c r="U61" i="2"/>
  <c r="B34" i="2"/>
  <c r="B31" i="1" s="1"/>
  <c r="B30" i="1"/>
  <c r="AE91" i="2"/>
  <c r="AG91" i="2" s="1"/>
  <c r="AH91" i="2" s="1"/>
  <c r="T83" i="2"/>
  <c r="V83" i="2" s="1"/>
  <c r="W83" i="2" s="1"/>
  <c r="AK41" i="2"/>
  <c r="AG41" i="2"/>
  <c r="Y41" i="2"/>
  <c r="Q41" i="2"/>
  <c r="AF41" i="2"/>
  <c r="AH41" i="2" s="1"/>
  <c r="AI41" i="2" s="1"/>
  <c r="X41" i="2"/>
  <c r="Z41" i="2" s="1"/>
  <c r="AA41" i="2" s="1"/>
  <c r="P41" i="2"/>
  <c r="R41" i="2" s="1"/>
  <c r="S41" i="2" s="1"/>
  <c r="AC41" i="2"/>
  <c r="U41" i="2"/>
  <c r="AB41" i="2"/>
  <c r="AD41" i="2" s="1"/>
  <c r="AE41" i="2" s="1"/>
  <c r="T41" i="2"/>
  <c r="V41" i="2" s="1"/>
  <c r="W41" i="2" s="1"/>
  <c r="AJ41" i="2"/>
  <c r="AL41" i="2" s="1"/>
  <c r="AM41" i="2" s="1"/>
  <c r="F15" i="6"/>
  <c r="E15" i="6"/>
  <c r="J15" i="6"/>
  <c r="J22" i="6"/>
  <c r="E22" i="6"/>
  <c r="F22" i="6"/>
  <c r="J14" i="6"/>
  <c r="E14" i="6"/>
  <c r="F14" i="6"/>
  <c r="I13" i="6"/>
  <c r="H13" i="6"/>
  <c r="I14" i="6"/>
  <c r="H14" i="6"/>
  <c r="F24" i="6"/>
  <c r="E24" i="6"/>
  <c r="J24" i="6"/>
  <c r="H55" i="6"/>
  <c r="I55" i="6"/>
  <c r="E11" i="6"/>
  <c r="J11" i="6"/>
  <c r="F11" i="6"/>
  <c r="I16" i="6"/>
  <c r="H16" i="6"/>
  <c r="J45" i="6"/>
  <c r="F45" i="6"/>
  <c r="E45" i="6"/>
  <c r="F50" i="6"/>
  <c r="E50" i="6"/>
  <c r="J50" i="6"/>
  <c r="I53" i="6"/>
  <c r="H53" i="6"/>
  <c r="F55" i="6"/>
  <c r="E55" i="6"/>
  <c r="J55" i="6"/>
  <c r="H58" i="6"/>
  <c r="I58" i="6"/>
  <c r="J60" i="6"/>
  <c r="F60" i="6"/>
  <c r="E60" i="6"/>
  <c r="AJ34" i="2"/>
  <c r="AL34" i="2" s="1"/>
  <c r="AM34" i="2" s="1"/>
  <c r="AB34" i="2"/>
  <c r="AD34" i="2" s="1"/>
  <c r="AE34" i="2" s="1"/>
  <c r="T34" i="2"/>
  <c r="V34" i="2" s="1"/>
  <c r="W34" i="2" s="1"/>
  <c r="AG34" i="2"/>
  <c r="Y34" i="2"/>
  <c r="Q34" i="2"/>
  <c r="AF34" i="2"/>
  <c r="AH34" i="2" s="1"/>
  <c r="AI34" i="2" s="1"/>
  <c r="X34" i="2"/>
  <c r="Z34" i="2" s="1"/>
  <c r="AA34" i="2" s="1"/>
  <c r="P34" i="2"/>
  <c r="R34" i="2" s="1"/>
  <c r="S34" i="2" s="1"/>
  <c r="AK34" i="2"/>
  <c r="AC34" i="2"/>
  <c r="U34" i="2"/>
  <c r="AK39" i="2"/>
  <c r="AC39" i="2"/>
  <c r="U39" i="2"/>
  <c r="AJ39" i="2"/>
  <c r="AL39" i="2" s="1"/>
  <c r="AM39" i="2" s="1"/>
  <c r="AB39" i="2"/>
  <c r="AD39" i="2" s="1"/>
  <c r="AE39" i="2" s="1"/>
  <c r="T39" i="2"/>
  <c r="V39" i="2" s="1"/>
  <c r="W39" i="2" s="1"/>
  <c r="AG39" i="2"/>
  <c r="Y39" i="2"/>
  <c r="Q39" i="2"/>
  <c r="AF39" i="2"/>
  <c r="AH39" i="2" s="1"/>
  <c r="AI39" i="2" s="1"/>
  <c r="X39" i="2"/>
  <c r="Z39" i="2" s="1"/>
  <c r="AA39" i="2" s="1"/>
  <c r="P39" i="2"/>
  <c r="R39" i="2" s="1"/>
  <c r="S39" i="2" s="1"/>
  <c r="W104" i="6"/>
  <c r="V104" i="6"/>
  <c r="W222" i="6"/>
  <c r="V222" i="6"/>
  <c r="Q110" i="6"/>
  <c r="P110" i="6"/>
  <c r="W82" i="6"/>
  <c r="V82" i="6"/>
  <c r="W179" i="6"/>
  <c r="V179" i="6"/>
  <c r="W210" i="6"/>
  <c r="V210" i="6"/>
  <c r="Q124" i="6"/>
  <c r="P124" i="6"/>
  <c r="Q182" i="6"/>
  <c r="P182" i="6"/>
  <c r="B225" i="6"/>
  <c r="C225" i="6" s="1"/>
  <c r="B204" i="1"/>
  <c r="H51" i="6"/>
  <c r="I51" i="6"/>
  <c r="W134" i="6"/>
  <c r="V134" i="6"/>
  <c r="W85" i="6"/>
  <c r="V85" i="6"/>
  <c r="W103" i="6"/>
  <c r="V103" i="6"/>
  <c r="W128" i="6"/>
  <c r="V128" i="6"/>
  <c r="V115" i="6"/>
  <c r="W115" i="6"/>
  <c r="V81" i="6"/>
  <c r="W81" i="6"/>
  <c r="Q134" i="6"/>
  <c r="Q224" i="6"/>
  <c r="P224" i="6"/>
  <c r="V91" i="6"/>
  <c r="W91" i="6"/>
  <c r="W127" i="6"/>
  <c r="V127" i="6"/>
  <c r="W88" i="6"/>
  <c r="V88" i="6"/>
  <c r="W98" i="6"/>
  <c r="V98" i="6"/>
  <c r="V130" i="6"/>
  <c r="W130" i="6"/>
  <c r="V123" i="6"/>
  <c r="W123" i="6"/>
  <c r="V173" i="6"/>
  <c r="W173" i="6"/>
  <c r="W177" i="6"/>
  <c r="V177" i="6"/>
  <c r="V185" i="6"/>
  <c r="W185" i="6"/>
  <c r="W206" i="6"/>
  <c r="V206" i="6"/>
  <c r="V199" i="6"/>
  <c r="W199" i="6"/>
  <c r="W216" i="6"/>
  <c r="V216" i="6"/>
  <c r="W219" i="6"/>
  <c r="V219" i="6"/>
  <c r="Q80" i="6"/>
  <c r="P80" i="6"/>
  <c r="P97" i="6"/>
  <c r="Q97" i="6"/>
  <c r="Q106" i="6"/>
  <c r="P106" i="6"/>
  <c r="Q109" i="6"/>
  <c r="P109" i="6"/>
  <c r="Q96" i="6"/>
  <c r="P96" i="6"/>
  <c r="Q118" i="6"/>
  <c r="P118" i="6"/>
  <c r="Q120" i="6"/>
  <c r="P120" i="6"/>
  <c r="P183" i="6"/>
  <c r="Q183" i="6"/>
  <c r="Q176" i="6"/>
  <c r="P176" i="6"/>
  <c r="Q192" i="6"/>
  <c r="P192" i="6"/>
  <c r="Q196" i="6"/>
  <c r="P196" i="6"/>
  <c r="Q213" i="6"/>
  <c r="P213" i="6"/>
  <c r="Q208" i="6"/>
  <c r="P208" i="6"/>
  <c r="Q211" i="6"/>
  <c r="P211" i="6"/>
  <c r="AG35" i="2"/>
  <c r="Y35" i="2"/>
  <c r="Q35" i="2"/>
  <c r="AF35" i="2"/>
  <c r="AH35" i="2" s="1"/>
  <c r="AI35" i="2" s="1"/>
  <c r="X35" i="2"/>
  <c r="Z35" i="2" s="1"/>
  <c r="AA35" i="2" s="1"/>
  <c r="P35" i="2"/>
  <c r="R35" i="2" s="1"/>
  <c r="S35" i="2" s="1"/>
  <c r="AK35" i="2"/>
  <c r="AC35" i="2"/>
  <c r="U35" i="2"/>
  <c r="AJ35" i="2"/>
  <c r="AL35" i="2" s="1"/>
  <c r="AM35" i="2" s="1"/>
  <c r="AB35" i="2"/>
  <c r="AD35" i="2" s="1"/>
  <c r="AE35" i="2" s="1"/>
  <c r="T35" i="2"/>
  <c r="V35" i="2" s="1"/>
  <c r="W35" i="2" s="1"/>
  <c r="F31" i="6"/>
  <c r="E31" i="6"/>
  <c r="J31" i="6"/>
  <c r="H59" i="6"/>
  <c r="I59" i="6"/>
  <c r="F23" i="6"/>
  <c r="E23" i="6"/>
  <c r="J23" i="6"/>
  <c r="I17" i="6"/>
  <c r="H17" i="6"/>
  <c r="I18" i="6"/>
  <c r="H18" i="6"/>
  <c r="F28" i="6"/>
  <c r="E28" i="6"/>
  <c r="J28" i="6"/>
  <c r="I60" i="6"/>
  <c r="H60" i="6"/>
  <c r="E13" i="6"/>
  <c r="J13" i="6"/>
  <c r="F13" i="6"/>
  <c r="I20" i="6"/>
  <c r="H20" i="6"/>
  <c r="J49" i="6"/>
  <c r="F49" i="6"/>
  <c r="E49" i="6"/>
  <c r="F54" i="6"/>
  <c r="E54" i="6"/>
  <c r="J54" i="6"/>
  <c r="I57" i="6"/>
  <c r="H57" i="6"/>
  <c r="F59" i="6"/>
  <c r="E59" i="6"/>
  <c r="J59" i="6"/>
  <c r="H62" i="6"/>
  <c r="I62" i="6"/>
  <c r="J26" i="6"/>
  <c r="E26" i="6"/>
  <c r="F26" i="6"/>
  <c r="W121" i="6"/>
  <c r="V121" i="6"/>
  <c r="V212" i="6"/>
  <c r="W212" i="6"/>
  <c r="Q172" i="6"/>
  <c r="P172" i="6"/>
  <c r="W94" i="6"/>
  <c r="V94" i="6"/>
  <c r="W180" i="6"/>
  <c r="V180" i="6"/>
  <c r="Q107" i="6"/>
  <c r="P107" i="6"/>
  <c r="P121" i="6"/>
  <c r="Q121" i="6"/>
  <c r="Q217" i="6"/>
  <c r="P217" i="6"/>
  <c r="I33" i="6"/>
  <c r="H33" i="6"/>
  <c r="P79" i="6"/>
  <c r="Q79" i="6"/>
  <c r="W93" i="6"/>
  <c r="V93" i="6"/>
  <c r="V99" i="6"/>
  <c r="W99" i="6"/>
  <c r="W80" i="6"/>
  <c r="V80" i="6"/>
  <c r="W96" i="6"/>
  <c r="V96" i="6"/>
  <c r="W106" i="6"/>
  <c r="V106" i="6"/>
  <c r="W113" i="6"/>
  <c r="V113" i="6"/>
  <c r="W108" i="6"/>
  <c r="V108" i="6"/>
  <c r="W175" i="6"/>
  <c r="V175" i="6"/>
  <c r="W170" i="6"/>
  <c r="V170" i="6"/>
  <c r="V193" i="6"/>
  <c r="W193" i="6"/>
  <c r="W214" i="6"/>
  <c r="V214" i="6"/>
  <c r="W184" i="6"/>
  <c r="V184" i="6"/>
  <c r="W209" i="6"/>
  <c r="V209" i="6"/>
  <c r="V204" i="6"/>
  <c r="W204" i="6"/>
  <c r="Q82" i="6"/>
  <c r="P82" i="6"/>
  <c r="P105" i="6"/>
  <c r="Q105" i="6"/>
  <c r="Q117" i="6"/>
  <c r="P117" i="6"/>
  <c r="Q186" i="6"/>
  <c r="P186" i="6"/>
  <c r="Q104" i="6"/>
  <c r="P104" i="6"/>
  <c r="Q126" i="6"/>
  <c r="P126" i="6"/>
  <c r="Q128" i="6"/>
  <c r="P128" i="6"/>
  <c r="P191" i="6"/>
  <c r="Q191" i="6"/>
  <c r="Q185" i="6"/>
  <c r="P185" i="6"/>
  <c r="P200" i="6"/>
  <c r="Q200" i="6"/>
  <c r="P181" i="6"/>
  <c r="Q181" i="6"/>
  <c r="Q221" i="6"/>
  <c r="P221" i="6"/>
  <c r="Q216" i="6"/>
  <c r="P216" i="6"/>
  <c r="Q219" i="6"/>
  <c r="P219" i="6"/>
  <c r="B174" i="2"/>
  <c r="AB9" i="6"/>
  <c r="AC9" i="6" s="1"/>
  <c r="AD9" i="6" s="1"/>
  <c r="AE9" i="6" s="1"/>
  <c r="AG31" i="2"/>
  <c r="Y31" i="2"/>
  <c r="Q31" i="2"/>
  <c r="AF31" i="2"/>
  <c r="AH31" i="2" s="1"/>
  <c r="AI31" i="2" s="1"/>
  <c r="X31" i="2"/>
  <c r="Z31" i="2" s="1"/>
  <c r="AA31" i="2" s="1"/>
  <c r="P31" i="2"/>
  <c r="R31" i="2" s="1"/>
  <c r="S31" i="2" s="1"/>
  <c r="AK31" i="2"/>
  <c r="AC31" i="2"/>
  <c r="U31" i="2"/>
  <c r="AJ31" i="2"/>
  <c r="AL31" i="2" s="1"/>
  <c r="AM31" i="2" s="1"/>
  <c r="AB31" i="2"/>
  <c r="AD31" i="2" s="1"/>
  <c r="AE31" i="2" s="1"/>
  <c r="T31" i="2"/>
  <c r="V31" i="2" s="1"/>
  <c r="W31" i="2" s="1"/>
  <c r="H43" i="6"/>
  <c r="I43" i="6"/>
  <c r="AB56" i="2"/>
  <c r="AD56" i="2" s="1"/>
  <c r="AE56" i="2" s="1"/>
  <c r="Q56" i="2"/>
  <c r="AK56" i="2"/>
  <c r="P56" i="2"/>
  <c r="R56" i="2" s="1"/>
  <c r="S56" i="2" s="1"/>
  <c r="AJ56" i="2"/>
  <c r="AL56" i="2" s="1"/>
  <c r="AM56" i="2" s="1"/>
  <c r="Y56" i="2"/>
  <c r="X56" i="2"/>
  <c r="Z56" i="2" s="1"/>
  <c r="AA56" i="2" s="1"/>
  <c r="T56" i="2"/>
  <c r="V56" i="2" s="1"/>
  <c r="W56" i="2" s="1"/>
  <c r="AG56" i="2"/>
  <c r="AF56" i="2"/>
  <c r="AH56" i="2" s="1"/>
  <c r="AI56" i="2" s="1"/>
  <c r="AC56" i="2"/>
  <c r="U56" i="2"/>
  <c r="J30" i="6"/>
  <c r="E30" i="6"/>
  <c r="F30" i="6"/>
  <c r="I21" i="6"/>
  <c r="H21" i="6"/>
  <c r="I22" i="6"/>
  <c r="H22" i="6"/>
  <c r="F32" i="6"/>
  <c r="E32" i="6"/>
  <c r="J32" i="6"/>
  <c r="I9" i="6"/>
  <c r="H9" i="6"/>
  <c r="E17" i="6"/>
  <c r="J17" i="6"/>
  <c r="F17" i="6"/>
  <c r="I24" i="6"/>
  <c r="H24" i="6"/>
  <c r="J53" i="6"/>
  <c r="F53" i="6"/>
  <c r="E53" i="6"/>
  <c r="F58" i="6"/>
  <c r="E58" i="6"/>
  <c r="J58" i="6"/>
  <c r="I61" i="6"/>
  <c r="H61" i="6"/>
  <c r="H34" i="6"/>
  <c r="I34" i="6"/>
  <c r="J36" i="6"/>
  <c r="F36" i="6"/>
  <c r="E36" i="6"/>
  <c r="W92" i="6"/>
  <c r="V92" i="6"/>
  <c r="W217" i="6"/>
  <c r="V217" i="6"/>
  <c r="Q220" i="6"/>
  <c r="P220" i="6"/>
  <c r="P201" i="6"/>
  <c r="Q201" i="6"/>
  <c r="AF28" i="2"/>
  <c r="AH28" i="2" s="1"/>
  <c r="AI28" i="2" s="1"/>
  <c r="X28" i="2"/>
  <c r="Z28" i="2" s="1"/>
  <c r="AA28" i="2" s="1"/>
  <c r="P28" i="2"/>
  <c r="R28" i="2" s="1"/>
  <c r="S28" i="2" s="1"/>
  <c r="AK28" i="2"/>
  <c r="AC28" i="2"/>
  <c r="U28" i="2"/>
  <c r="AJ28" i="2"/>
  <c r="AL28" i="2" s="1"/>
  <c r="AM28" i="2" s="1"/>
  <c r="AB28" i="2"/>
  <c r="AD28" i="2" s="1"/>
  <c r="AE28" i="2" s="1"/>
  <c r="T28" i="2"/>
  <c r="V28" i="2" s="1"/>
  <c r="W28" i="2" s="1"/>
  <c r="AG28" i="2"/>
  <c r="Y28" i="2"/>
  <c r="Q28" i="2"/>
  <c r="AG40" i="2"/>
  <c r="Y40" i="2"/>
  <c r="Q40" i="2"/>
  <c r="AF40" i="2"/>
  <c r="AH40" i="2" s="1"/>
  <c r="AI40" i="2" s="1"/>
  <c r="X40" i="2"/>
  <c r="Z40" i="2" s="1"/>
  <c r="AA40" i="2" s="1"/>
  <c r="P40" i="2"/>
  <c r="R40" i="2" s="1"/>
  <c r="S40" i="2" s="1"/>
  <c r="AK40" i="2"/>
  <c r="AC40" i="2"/>
  <c r="U40" i="2"/>
  <c r="AJ40" i="2"/>
  <c r="AL40" i="2" s="1"/>
  <c r="AM40" i="2" s="1"/>
  <c r="AB40" i="2"/>
  <c r="AD40" i="2" s="1"/>
  <c r="AE40" i="2" s="1"/>
  <c r="T40" i="2"/>
  <c r="V40" i="2" s="1"/>
  <c r="W40" i="2" s="1"/>
  <c r="AJ44" i="2"/>
  <c r="AL44" i="2" s="1"/>
  <c r="AM44" i="2" s="1"/>
  <c r="AB44" i="2"/>
  <c r="AD44" i="2" s="1"/>
  <c r="AE44" i="2" s="1"/>
  <c r="T44" i="2"/>
  <c r="V44" i="2" s="1"/>
  <c r="W44" i="2" s="1"/>
  <c r="AC44" i="2"/>
  <c r="Q44" i="2"/>
  <c r="AK44" i="2"/>
  <c r="P44" i="2"/>
  <c r="R44" i="2" s="1"/>
  <c r="S44" i="2" s="1"/>
  <c r="Y44" i="2"/>
  <c r="X44" i="2"/>
  <c r="Z44" i="2" s="1"/>
  <c r="AA44" i="2" s="1"/>
  <c r="AG44" i="2"/>
  <c r="U44" i="2"/>
  <c r="AF44" i="2"/>
  <c r="AH44" i="2" s="1"/>
  <c r="AI44" i="2" s="1"/>
  <c r="J18" i="6"/>
  <c r="E18" i="6"/>
  <c r="F18" i="6"/>
  <c r="I40" i="6"/>
  <c r="H40" i="6"/>
  <c r="I25" i="6"/>
  <c r="H25" i="6"/>
  <c r="I26" i="6"/>
  <c r="H26" i="6"/>
  <c r="I36" i="6"/>
  <c r="H36" i="6"/>
  <c r="I15" i="6"/>
  <c r="H15" i="6"/>
  <c r="E21" i="6"/>
  <c r="J21" i="6"/>
  <c r="F21" i="6"/>
  <c r="I28" i="6"/>
  <c r="H28" i="6"/>
  <c r="J57" i="6"/>
  <c r="F57" i="6"/>
  <c r="E57" i="6"/>
  <c r="F62" i="6"/>
  <c r="E62" i="6"/>
  <c r="J62" i="6"/>
  <c r="F35" i="6"/>
  <c r="E35" i="6"/>
  <c r="J35" i="6"/>
  <c r="H38" i="6"/>
  <c r="I38" i="6"/>
  <c r="J40" i="6"/>
  <c r="F40" i="6"/>
  <c r="E40" i="6"/>
  <c r="V107" i="6"/>
  <c r="W107" i="6"/>
  <c r="W186" i="6"/>
  <c r="V186" i="6"/>
  <c r="Q94" i="6"/>
  <c r="P94" i="6"/>
  <c r="Q206" i="6"/>
  <c r="P206" i="6"/>
  <c r="Q136" i="6"/>
  <c r="P136" i="6"/>
  <c r="W86" i="6"/>
  <c r="V86" i="6"/>
  <c r="W100" i="6"/>
  <c r="V100" i="6"/>
  <c r="V89" i="6"/>
  <c r="W89" i="6"/>
  <c r="W118" i="6"/>
  <c r="V118" i="6"/>
  <c r="W129" i="6"/>
  <c r="V129" i="6"/>
  <c r="W124" i="6"/>
  <c r="V124" i="6"/>
  <c r="W176" i="6"/>
  <c r="V176" i="6"/>
  <c r="V178" i="6"/>
  <c r="W178" i="6"/>
  <c r="W194" i="6"/>
  <c r="V194" i="6"/>
  <c r="W182" i="6"/>
  <c r="V182" i="6"/>
  <c r="W200" i="6"/>
  <c r="V200" i="6"/>
  <c r="W202" i="6"/>
  <c r="V202" i="6"/>
  <c r="V220" i="6"/>
  <c r="W220" i="6"/>
  <c r="Q99" i="6"/>
  <c r="P99" i="6"/>
  <c r="P85" i="6"/>
  <c r="Q85" i="6"/>
  <c r="Q92" i="6"/>
  <c r="P92" i="6"/>
  <c r="Q102" i="6"/>
  <c r="P102" i="6"/>
  <c r="Q116" i="6"/>
  <c r="P116" i="6"/>
  <c r="Q111" i="6"/>
  <c r="P111" i="6"/>
  <c r="P113" i="6"/>
  <c r="Q113" i="6"/>
  <c r="Q174" i="6"/>
  <c r="P174" i="6"/>
  <c r="P169" i="6"/>
  <c r="Q169" i="6"/>
  <c r="Q187" i="6"/>
  <c r="P187" i="6"/>
  <c r="P197" i="6"/>
  <c r="Q197" i="6"/>
  <c r="Q214" i="6"/>
  <c r="P214" i="6"/>
  <c r="Q209" i="6"/>
  <c r="P209" i="6"/>
  <c r="B126" i="2"/>
  <c r="B101" i="1" s="1"/>
  <c r="AK38" i="2"/>
  <c r="AC38" i="2"/>
  <c r="U38" i="2"/>
  <c r="AJ38" i="2"/>
  <c r="AL38" i="2" s="1"/>
  <c r="AM38" i="2" s="1"/>
  <c r="AB38" i="2"/>
  <c r="AD38" i="2" s="1"/>
  <c r="AE38" i="2" s="1"/>
  <c r="T38" i="2"/>
  <c r="V38" i="2" s="1"/>
  <c r="W38" i="2" s="1"/>
  <c r="AG38" i="2"/>
  <c r="Y38" i="2"/>
  <c r="Q38" i="2"/>
  <c r="AF38" i="2"/>
  <c r="AH38" i="2" s="1"/>
  <c r="AI38" i="2" s="1"/>
  <c r="X38" i="2"/>
  <c r="Z38" i="2" s="1"/>
  <c r="AA38" i="2" s="1"/>
  <c r="P38" i="2"/>
  <c r="R38" i="2" s="1"/>
  <c r="S38" i="2" s="1"/>
  <c r="AK47" i="2"/>
  <c r="AC47" i="2"/>
  <c r="U47" i="2"/>
  <c r="AJ47" i="2"/>
  <c r="AL47" i="2" s="1"/>
  <c r="AM47" i="2" s="1"/>
  <c r="AB47" i="2"/>
  <c r="AD47" i="2" s="1"/>
  <c r="AE47" i="2" s="1"/>
  <c r="T47" i="2"/>
  <c r="V47" i="2" s="1"/>
  <c r="W47" i="2" s="1"/>
  <c r="AG47" i="2"/>
  <c r="AF47" i="2"/>
  <c r="AH47" i="2" s="1"/>
  <c r="AI47" i="2" s="1"/>
  <c r="Y47" i="2"/>
  <c r="X47" i="2"/>
  <c r="Z47" i="2" s="1"/>
  <c r="AA47" i="2" s="1"/>
  <c r="P47" i="2"/>
  <c r="R47" i="2" s="1"/>
  <c r="S47" i="2" s="1"/>
  <c r="Q47" i="2"/>
  <c r="AG49" i="2"/>
  <c r="Y49" i="2"/>
  <c r="Q49" i="2"/>
  <c r="AF49" i="2"/>
  <c r="AH49" i="2" s="1"/>
  <c r="AI49" i="2" s="1"/>
  <c r="X49" i="2"/>
  <c r="Z49" i="2" s="1"/>
  <c r="AA49" i="2" s="1"/>
  <c r="P49" i="2"/>
  <c r="R49" i="2" s="1"/>
  <c r="S49" i="2" s="1"/>
  <c r="U49" i="2"/>
  <c r="AB49" i="2"/>
  <c r="AD49" i="2" s="1"/>
  <c r="AE49" i="2" s="1"/>
  <c r="T49" i="2"/>
  <c r="V49" i="2" s="1"/>
  <c r="W49" i="2" s="1"/>
  <c r="AK49" i="2"/>
  <c r="AJ49" i="2"/>
  <c r="AL49" i="2" s="1"/>
  <c r="AM49" i="2" s="1"/>
  <c r="AC49" i="2"/>
  <c r="F27" i="6"/>
  <c r="E27" i="6"/>
  <c r="J27" i="6"/>
  <c r="I56" i="6"/>
  <c r="H56" i="6"/>
  <c r="I29" i="6"/>
  <c r="H29" i="6"/>
  <c r="I30" i="6"/>
  <c r="H30" i="6"/>
  <c r="H39" i="6"/>
  <c r="I39" i="6"/>
  <c r="I19" i="6"/>
  <c r="H19" i="6"/>
  <c r="E25" i="6"/>
  <c r="J25" i="6"/>
  <c r="F25" i="6"/>
  <c r="I32" i="6"/>
  <c r="H32" i="6"/>
  <c r="J61" i="6"/>
  <c r="F61" i="6"/>
  <c r="E61" i="6"/>
  <c r="I37" i="6"/>
  <c r="H37" i="6"/>
  <c r="F39" i="6"/>
  <c r="E39" i="6"/>
  <c r="J39" i="6"/>
  <c r="H42" i="6"/>
  <c r="I42" i="6"/>
  <c r="J44" i="6"/>
  <c r="F44" i="6"/>
  <c r="E44" i="6"/>
  <c r="K94" i="6" l="1"/>
  <c r="B264" i="2"/>
  <c r="B198" i="1" s="1"/>
  <c r="B241" i="2"/>
  <c r="B196" i="1" s="1"/>
  <c r="B268" i="2"/>
  <c r="B202" i="1" s="1"/>
  <c r="E268" i="2"/>
  <c r="E131" i="6"/>
  <c r="B226" i="2"/>
  <c r="B182" i="1" s="1"/>
  <c r="V136" i="6"/>
  <c r="B217" i="2"/>
  <c r="AM14" i="2"/>
  <c r="J108" i="6"/>
  <c r="R108" i="6" s="1"/>
  <c r="T108" i="6" s="1"/>
  <c r="J101" i="6"/>
  <c r="R101" i="6" s="1"/>
  <c r="AL7" i="2"/>
  <c r="AM7" i="2" s="1"/>
  <c r="E101" i="6"/>
  <c r="AH6" i="2"/>
  <c r="AI6" i="2" s="1"/>
  <c r="G82" i="6"/>
  <c r="I82" i="6" s="1"/>
  <c r="H101" i="6"/>
  <c r="AM17" i="2"/>
  <c r="B201" i="2"/>
  <c r="F119" i="6"/>
  <c r="D190" i="6"/>
  <c r="G190" i="6" s="1"/>
  <c r="I190" i="6" s="1"/>
  <c r="D169" i="6"/>
  <c r="G169" i="6" s="1"/>
  <c r="I169" i="6" s="1"/>
  <c r="F101" i="6"/>
  <c r="E118" i="6"/>
  <c r="J127" i="6"/>
  <c r="R127" i="6" s="1"/>
  <c r="E127" i="6"/>
  <c r="V13" i="2"/>
  <c r="W13" i="2" s="1"/>
  <c r="AA6" i="2"/>
  <c r="J92" i="6"/>
  <c r="R92" i="6" s="1"/>
  <c r="T92" i="6" s="1"/>
  <c r="W15" i="2"/>
  <c r="S6" i="2"/>
  <c r="W7" i="2"/>
  <c r="E129" i="6"/>
  <c r="E134" i="6"/>
  <c r="F129" i="6"/>
  <c r="E94" i="6"/>
  <c r="G129" i="6"/>
  <c r="H129" i="6" s="1"/>
  <c r="K129" i="6"/>
  <c r="G135" i="6"/>
  <c r="I135" i="6" s="1"/>
  <c r="AH15" i="2"/>
  <c r="AI15" i="2" s="1"/>
  <c r="W8" i="2"/>
  <c r="G134" i="6"/>
  <c r="R134" i="6" s="1"/>
  <c r="AD6" i="2"/>
  <c r="AE6" i="2" s="1"/>
  <c r="K134" i="6"/>
  <c r="E119" i="6"/>
  <c r="L104" i="6"/>
  <c r="G119" i="6"/>
  <c r="R119" i="6" s="1"/>
  <c r="T119" i="6" s="1"/>
  <c r="E114" i="6"/>
  <c r="F114" i="6"/>
  <c r="E111" i="6"/>
  <c r="F111" i="6"/>
  <c r="AH13" i="2"/>
  <c r="AI13" i="2" s="1"/>
  <c r="F106" i="6"/>
  <c r="F83" i="6"/>
  <c r="V6" i="2"/>
  <c r="W6" i="2" s="1"/>
  <c r="AD7" i="2"/>
  <c r="AE7" i="2" s="1"/>
  <c r="AM15" i="2"/>
  <c r="J114" i="6"/>
  <c r="R114" i="6" s="1"/>
  <c r="J110" i="6"/>
  <c r="R110" i="6" s="1"/>
  <c r="S110" i="6" s="1"/>
  <c r="F110" i="6"/>
  <c r="E110" i="6"/>
  <c r="F105" i="6"/>
  <c r="G136" i="6"/>
  <c r="R136" i="6" s="1"/>
  <c r="F136" i="6"/>
  <c r="E136" i="6"/>
  <c r="K133" i="6"/>
  <c r="E100" i="6"/>
  <c r="E92" i="6"/>
  <c r="F103" i="6"/>
  <c r="F92" i="6"/>
  <c r="F100" i="6"/>
  <c r="E103" i="6"/>
  <c r="D202" i="6"/>
  <c r="J202" i="6" s="1"/>
  <c r="K202" i="6" s="1"/>
  <c r="D196" i="6"/>
  <c r="G196" i="6" s="1"/>
  <c r="I196" i="6" s="1"/>
  <c r="J113" i="6"/>
  <c r="L113" i="6" s="1"/>
  <c r="F130" i="6"/>
  <c r="D171" i="6"/>
  <c r="G171" i="6" s="1"/>
  <c r="H171" i="6" s="1"/>
  <c r="J219" i="6"/>
  <c r="L219" i="6" s="1"/>
  <c r="D177" i="6"/>
  <c r="G177" i="6" s="1"/>
  <c r="D191" i="6"/>
  <c r="J191" i="6" s="1"/>
  <c r="L191" i="6" s="1"/>
  <c r="D176" i="6"/>
  <c r="G176" i="6" s="1"/>
  <c r="I176" i="6" s="1"/>
  <c r="D182" i="6"/>
  <c r="G182" i="6" s="1"/>
  <c r="E113" i="6"/>
  <c r="F113" i="6"/>
  <c r="J83" i="6"/>
  <c r="L83" i="6" s="1"/>
  <c r="G83" i="6"/>
  <c r="I83" i="6" s="1"/>
  <c r="I113" i="6"/>
  <c r="G122" i="6"/>
  <c r="I122" i="6" s="1"/>
  <c r="AA15" i="2"/>
  <c r="D203" i="6"/>
  <c r="G203" i="6" s="1"/>
  <c r="I203" i="6" s="1"/>
  <c r="AH14" i="2"/>
  <c r="AI14" i="2" s="1"/>
  <c r="F124" i="6"/>
  <c r="E84" i="6"/>
  <c r="E124" i="6"/>
  <c r="F84" i="6"/>
  <c r="K124" i="6"/>
  <c r="V135" i="6"/>
  <c r="H84" i="6"/>
  <c r="AA17" i="2"/>
  <c r="J84" i="6"/>
  <c r="L84" i="6" s="1"/>
  <c r="G124" i="6"/>
  <c r="R124" i="6" s="1"/>
  <c r="AE8" i="2"/>
  <c r="E96" i="6"/>
  <c r="AM6" i="2"/>
  <c r="I92" i="6"/>
  <c r="I103" i="6"/>
  <c r="J103" i="6"/>
  <c r="R103" i="6" s="1"/>
  <c r="G100" i="6"/>
  <c r="R100" i="6" s="1"/>
  <c r="S100" i="6" s="1"/>
  <c r="L136" i="6"/>
  <c r="E105" i="6"/>
  <c r="J109" i="6"/>
  <c r="R109" i="6" s="1"/>
  <c r="S109" i="6" s="1"/>
  <c r="E120" i="6"/>
  <c r="I91" i="6"/>
  <c r="E112" i="6"/>
  <c r="F128" i="6"/>
  <c r="F120" i="6"/>
  <c r="F112" i="6"/>
  <c r="J128" i="6"/>
  <c r="L128" i="6" s="1"/>
  <c r="R12" i="2"/>
  <c r="S12" i="2" s="1"/>
  <c r="P135" i="6"/>
  <c r="E109" i="6"/>
  <c r="H81" i="6"/>
  <c r="F109" i="6"/>
  <c r="G104" i="6"/>
  <c r="R104" i="6" s="1"/>
  <c r="AA14" i="2"/>
  <c r="F80" i="6"/>
  <c r="E80" i="6"/>
  <c r="J112" i="6"/>
  <c r="R112" i="6" s="1"/>
  <c r="G120" i="6"/>
  <c r="I120" i="6" s="1"/>
  <c r="E128" i="6"/>
  <c r="G80" i="6"/>
  <c r="R80" i="6" s="1"/>
  <c r="E95" i="6"/>
  <c r="F127" i="6"/>
  <c r="F82" i="6"/>
  <c r="G102" i="6"/>
  <c r="H102" i="6" s="1"/>
  <c r="F102" i="6"/>
  <c r="E93" i="6"/>
  <c r="I96" i="6"/>
  <c r="H116" i="6"/>
  <c r="F96" i="6"/>
  <c r="E82" i="6"/>
  <c r="E133" i="6"/>
  <c r="I127" i="6"/>
  <c r="K93" i="6"/>
  <c r="K95" i="6"/>
  <c r="F133" i="6"/>
  <c r="F116" i="6"/>
  <c r="J116" i="6"/>
  <c r="G93" i="6"/>
  <c r="R93" i="6" s="1"/>
  <c r="F95" i="6"/>
  <c r="E116" i="6"/>
  <c r="G95" i="6"/>
  <c r="J96" i="6"/>
  <c r="R96" i="6" s="1"/>
  <c r="T96" i="6" s="1"/>
  <c r="G133" i="6"/>
  <c r="I133" i="6" s="1"/>
  <c r="AD13" i="2"/>
  <c r="AE13" i="2" s="1"/>
  <c r="H128" i="6"/>
  <c r="L100" i="6"/>
  <c r="S13" i="2"/>
  <c r="E104" i="6"/>
  <c r="AM8" i="2"/>
  <c r="L120" i="6"/>
  <c r="F104" i="6"/>
  <c r="K105" i="6"/>
  <c r="F108" i="6"/>
  <c r="H112" i="6"/>
  <c r="I109" i="6"/>
  <c r="K80" i="6"/>
  <c r="E108" i="6"/>
  <c r="G105" i="6"/>
  <c r="R105" i="6" s="1"/>
  <c r="I111" i="6"/>
  <c r="L102" i="6"/>
  <c r="G79" i="6"/>
  <c r="R79" i="6" s="1"/>
  <c r="H86" i="6"/>
  <c r="AI8" i="2"/>
  <c r="F79" i="6"/>
  <c r="K98" i="6"/>
  <c r="G98" i="6"/>
  <c r="I98" i="6" s="1"/>
  <c r="E99" i="6"/>
  <c r="L79" i="6"/>
  <c r="E86" i="6"/>
  <c r="F99" i="6"/>
  <c r="L99" i="6"/>
  <c r="E91" i="6"/>
  <c r="E121" i="6"/>
  <c r="F98" i="6"/>
  <c r="J91" i="6"/>
  <c r="R91" i="6" s="1"/>
  <c r="E79" i="6"/>
  <c r="E81" i="6"/>
  <c r="J86" i="6"/>
  <c r="R86" i="6" s="1"/>
  <c r="T86" i="6" s="1"/>
  <c r="G87" i="6"/>
  <c r="H87" i="6" s="1"/>
  <c r="G121" i="6"/>
  <c r="R121" i="6" s="1"/>
  <c r="F91" i="6"/>
  <c r="F121" i="6"/>
  <c r="E98" i="6"/>
  <c r="F86" i="6"/>
  <c r="J87" i="6"/>
  <c r="K87" i="6" s="1"/>
  <c r="F81" i="6"/>
  <c r="E125" i="6"/>
  <c r="D200" i="6"/>
  <c r="G200" i="6" s="1"/>
  <c r="H200" i="6" s="1"/>
  <c r="D180" i="6"/>
  <c r="J180" i="6" s="1"/>
  <c r="D225" i="6"/>
  <c r="G225" i="6" s="1"/>
  <c r="D174" i="6"/>
  <c r="G174" i="6" s="1"/>
  <c r="H174" i="6" s="1"/>
  <c r="AI12" i="2"/>
  <c r="F125" i="6"/>
  <c r="D194" i="6"/>
  <c r="E194" i="6" s="1"/>
  <c r="D213" i="6"/>
  <c r="F213" i="6" s="1"/>
  <c r="K125" i="6"/>
  <c r="D170" i="6"/>
  <c r="G170" i="6" s="1"/>
  <c r="I170" i="6" s="1"/>
  <c r="G132" i="6"/>
  <c r="R132" i="6" s="1"/>
  <c r="B75" i="2"/>
  <c r="B77" i="2" s="1"/>
  <c r="B46" i="1" s="1"/>
  <c r="G125" i="6"/>
  <c r="R125" i="6" s="1"/>
  <c r="D188" i="6"/>
  <c r="G188" i="6" s="1"/>
  <c r="I188" i="6" s="1"/>
  <c r="B239" i="2"/>
  <c r="B227" i="6" s="1"/>
  <c r="C227" i="6" s="1"/>
  <c r="D227" i="6" s="1"/>
  <c r="G227" i="6" s="1"/>
  <c r="D216" i="6"/>
  <c r="E216" i="6" s="1"/>
  <c r="D226" i="6"/>
  <c r="J226" i="6" s="1"/>
  <c r="L226" i="6" s="1"/>
  <c r="L131" i="6"/>
  <c r="K132" i="6"/>
  <c r="Z16" i="2"/>
  <c r="AA16" i="2" s="1"/>
  <c r="D178" i="6"/>
  <c r="G178" i="6" s="1"/>
  <c r="H178" i="6" s="1"/>
  <c r="D192" i="6"/>
  <c r="F192" i="6" s="1"/>
  <c r="E132" i="6"/>
  <c r="D218" i="6"/>
  <c r="E218" i="6" s="1"/>
  <c r="D220" i="6"/>
  <c r="G220" i="6" s="1"/>
  <c r="D221" i="6"/>
  <c r="G221" i="6" s="1"/>
  <c r="I221" i="6" s="1"/>
  <c r="D222" i="6"/>
  <c r="F222" i="6" s="1"/>
  <c r="D183" i="6"/>
  <c r="G183" i="6" s="1"/>
  <c r="H183" i="6" s="1"/>
  <c r="F132" i="6"/>
  <c r="F134" i="6"/>
  <c r="F93" i="6"/>
  <c r="H114" i="6"/>
  <c r="K119" i="6"/>
  <c r="G99" i="6"/>
  <c r="J81" i="6"/>
  <c r="K81" i="6" s="1"/>
  <c r="D215" i="6"/>
  <c r="J215" i="6" s="1"/>
  <c r="K215" i="6" s="1"/>
  <c r="D197" i="6"/>
  <c r="J197" i="6" s="1"/>
  <c r="L197" i="6" s="1"/>
  <c r="G131" i="6"/>
  <c r="R131" i="6" s="1"/>
  <c r="D201" i="6"/>
  <c r="G201" i="6" s="1"/>
  <c r="H201" i="6" s="1"/>
  <c r="D211" i="6"/>
  <c r="J211" i="6" s="1"/>
  <c r="L211" i="6" s="1"/>
  <c r="D212" i="6"/>
  <c r="E212" i="6" s="1"/>
  <c r="D195" i="6"/>
  <c r="G195" i="6" s="1"/>
  <c r="H195" i="6" s="1"/>
  <c r="J111" i="6"/>
  <c r="L111" i="6" s="1"/>
  <c r="E87" i="6"/>
  <c r="AA12" i="2"/>
  <c r="D209" i="6"/>
  <c r="J209" i="6" s="1"/>
  <c r="L209" i="6" s="1"/>
  <c r="D175" i="6"/>
  <c r="J175" i="6" s="1"/>
  <c r="K175" i="6" s="1"/>
  <c r="D199" i="6"/>
  <c r="G199" i="6" s="1"/>
  <c r="I199" i="6" s="1"/>
  <c r="B30" i="2"/>
  <c r="B28" i="1" s="1"/>
  <c r="F131" i="6"/>
  <c r="D207" i="6"/>
  <c r="J207" i="6" s="1"/>
  <c r="L207" i="6" s="1"/>
  <c r="D210" i="6"/>
  <c r="J210" i="6" s="1"/>
  <c r="D193" i="6"/>
  <c r="G193" i="6" s="1"/>
  <c r="I193" i="6" s="1"/>
  <c r="D173" i="6"/>
  <c r="G173" i="6" s="1"/>
  <c r="H173" i="6" s="1"/>
  <c r="B105" i="2"/>
  <c r="E102" i="6"/>
  <c r="F94" i="6"/>
  <c r="G94" i="6"/>
  <c r="V9" i="2"/>
  <c r="W9" i="2" s="1"/>
  <c r="F126" i="6"/>
  <c r="E106" i="6"/>
  <c r="G126" i="6"/>
  <c r="I126" i="6" s="1"/>
  <c r="Z9" i="2"/>
  <c r="AA9" i="2" s="1"/>
  <c r="E126" i="6"/>
  <c r="J123" i="6"/>
  <c r="R123" i="6" s="1"/>
  <c r="T123" i="6" s="1"/>
  <c r="F90" i="6"/>
  <c r="H118" i="6"/>
  <c r="K106" i="6"/>
  <c r="E90" i="6"/>
  <c r="E107" i="6"/>
  <c r="J118" i="6"/>
  <c r="R118" i="6" s="1"/>
  <c r="L126" i="6"/>
  <c r="G106" i="6"/>
  <c r="I106" i="6" s="1"/>
  <c r="G107" i="6"/>
  <c r="W12" i="2"/>
  <c r="F107" i="6"/>
  <c r="J90" i="6"/>
  <c r="R90" i="6" s="1"/>
  <c r="I123" i="6"/>
  <c r="E123" i="6"/>
  <c r="K107" i="6"/>
  <c r="F118" i="6"/>
  <c r="F123" i="6"/>
  <c r="K122" i="6"/>
  <c r="D204" i="6"/>
  <c r="F204" i="6" s="1"/>
  <c r="F88" i="6"/>
  <c r="AM13" i="2"/>
  <c r="J130" i="6"/>
  <c r="D208" i="6"/>
  <c r="F208" i="6" s="1"/>
  <c r="Z13" i="2"/>
  <c r="AA13" i="2" s="1"/>
  <c r="D198" i="6"/>
  <c r="J198" i="6" s="1"/>
  <c r="L198" i="6" s="1"/>
  <c r="E88" i="6"/>
  <c r="E89" i="6"/>
  <c r="E115" i="6"/>
  <c r="G89" i="6"/>
  <c r="H89" i="6" s="1"/>
  <c r="F89" i="6"/>
  <c r="F115" i="6"/>
  <c r="I88" i="6"/>
  <c r="G130" i="6"/>
  <c r="I130" i="6" s="1"/>
  <c r="E122" i="6"/>
  <c r="G115" i="6"/>
  <c r="H115" i="6" s="1"/>
  <c r="F122" i="6"/>
  <c r="G117" i="6"/>
  <c r="I117" i="6" s="1"/>
  <c r="E117" i="6"/>
  <c r="K115" i="6"/>
  <c r="J88" i="6"/>
  <c r="J117" i="6"/>
  <c r="J97" i="6"/>
  <c r="R97" i="6" s="1"/>
  <c r="T97" i="6" s="1"/>
  <c r="F97" i="6"/>
  <c r="B228" i="6"/>
  <c r="C228" i="6" s="1"/>
  <c r="D228" i="6" s="1"/>
  <c r="J228" i="6" s="1"/>
  <c r="K228" i="6" s="1"/>
  <c r="AA7" i="2"/>
  <c r="G85" i="6"/>
  <c r="AI10" i="2"/>
  <c r="AA11" i="2"/>
  <c r="I97" i="6"/>
  <c r="V11" i="2"/>
  <c r="W11" i="2" s="1"/>
  <c r="B221" i="2"/>
  <c r="B223" i="2" s="1"/>
  <c r="B224" i="2" s="1"/>
  <c r="J85" i="6"/>
  <c r="K85" i="6" s="1"/>
  <c r="E85" i="6"/>
  <c r="E97" i="6"/>
  <c r="AH16" i="2"/>
  <c r="AI16" i="2" s="1"/>
  <c r="AH7" i="2"/>
  <c r="AI7" i="2" s="1"/>
  <c r="D214" i="6"/>
  <c r="F214" i="6" s="1"/>
  <c r="D184" i="6"/>
  <c r="J184" i="6" s="1"/>
  <c r="K184" i="6" s="1"/>
  <c r="S9" i="2"/>
  <c r="D224" i="6"/>
  <c r="J224" i="6" s="1"/>
  <c r="L224" i="6" s="1"/>
  <c r="D187" i="6"/>
  <c r="F187" i="6" s="1"/>
  <c r="AM11" i="2"/>
  <c r="D185" i="6"/>
  <c r="E185" i="6" s="1"/>
  <c r="D172" i="6"/>
  <c r="F172" i="6" s="1"/>
  <c r="G219" i="6"/>
  <c r="AL16" i="2"/>
  <c r="AM16" i="2" s="1"/>
  <c r="D186" i="6"/>
  <c r="E186" i="6" s="1"/>
  <c r="D181" i="6"/>
  <c r="G181" i="6" s="1"/>
  <c r="I181" i="6" s="1"/>
  <c r="D179" i="6"/>
  <c r="J179" i="6" s="1"/>
  <c r="L179" i="6" s="1"/>
  <c r="D206" i="6"/>
  <c r="G206" i="6" s="1"/>
  <c r="H206" i="6" s="1"/>
  <c r="D189" i="6"/>
  <c r="J189" i="6" s="1"/>
  <c r="L189" i="6" s="1"/>
  <c r="D205" i="6"/>
  <c r="J205" i="6" s="1"/>
  <c r="K205" i="6" s="1"/>
  <c r="D223" i="6"/>
  <c r="E223" i="6" s="1"/>
  <c r="AL12" i="2"/>
  <c r="AM12" i="2" s="1"/>
  <c r="D217" i="6"/>
  <c r="F217" i="6" s="1"/>
  <c r="AE12" i="2"/>
  <c r="Z10" i="2"/>
  <c r="AA10" i="2" s="1"/>
  <c r="Z8" i="2"/>
  <c r="AA8" i="2" s="1"/>
  <c r="AM10" i="2"/>
  <c r="AH9" i="2"/>
  <c r="AI9" i="2" s="1"/>
  <c r="AL9" i="2"/>
  <c r="AM9" i="2" s="1"/>
  <c r="F135" i="6"/>
  <c r="R8" i="2"/>
  <c r="S8" i="2" s="1"/>
  <c r="E135" i="6"/>
  <c r="AE10" i="2"/>
  <c r="E219" i="6"/>
  <c r="K135" i="6"/>
  <c r="V16" i="2"/>
  <c r="W16" i="2" s="1"/>
  <c r="S11" i="2"/>
  <c r="R10" i="2"/>
  <c r="S10" i="2" s="1"/>
  <c r="AD11" i="2"/>
  <c r="AE11" i="2" s="1"/>
  <c r="AI11" i="2"/>
  <c r="L11" i="6"/>
  <c r="K11" i="6"/>
  <c r="K22" i="6"/>
  <c r="L22" i="6"/>
  <c r="L33" i="6"/>
  <c r="K33" i="6"/>
  <c r="K27" i="6"/>
  <c r="L27" i="6"/>
  <c r="O137" i="6"/>
  <c r="U137" i="6"/>
  <c r="D137" i="6"/>
  <c r="G137" i="6" s="1"/>
  <c r="K15" i="6"/>
  <c r="L15" i="6"/>
  <c r="L51" i="6"/>
  <c r="K51" i="6"/>
  <c r="I110" i="6"/>
  <c r="H110" i="6"/>
  <c r="L52" i="6"/>
  <c r="K52" i="6"/>
  <c r="L42" i="6"/>
  <c r="K42" i="6"/>
  <c r="L34" i="6"/>
  <c r="K34" i="6"/>
  <c r="L40" i="6"/>
  <c r="K40" i="6"/>
  <c r="L39" i="6"/>
  <c r="K39" i="6"/>
  <c r="L53" i="6"/>
  <c r="K53" i="6"/>
  <c r="L32" i="6"/>
  <c r="K32" i="6"/>
  <c r="L54" i="6"/>
  <c r="K54" i="6"/>
  <c r="K82" i="6"/>
  <c r="L82" i="6"/>
  <c r="L55" i="6"/>
  <c r="K55" i="6"/>
  <c r="R84" i="6"/>
  <c r="L20" i="6"/>
  <c r="K20" i="6"/>
  <c r="K9" i="6"/>
  <c r="L9" i="6"/>
  <c r="U226" i="6"/>
  <c r="O226" i="6"/>
  <c r="L48" i="6"/>
  <c r="K48" i="6"/>
  <c r="L29" i="6"/>
  <c r="K29" i="6"/>
  <c r="L36" i="6"/>
  <c r="K36" i="6"/>
  <c r="L89" i="6"/>
  <c r="K89" i="6"/>
  <c r="K30" i="6"/>
  <c r="L30" i="6"/>
  <c r="K26" i="6"/>
  <c r="L26" i="6"/>
  <c r="L13" i="6"/>
  <c r="K13" i="6"/>
  <c r="K31" i="6"/>
  <c r="L31" i="6"/>
  <c r="L41" i="6"/>
  <c r="K41" i="6"/>
  <c r="K10" i="6"/>
  <c r="L10" i="6"/>
  <c r="L43" i="6"/>
  <c r="K43" i="6"/>
  <c r="L35" i="6"/>
  <c r="K35" i="6"/>
  <c r="L57" i="6"/>
  <c r="K57" i="6"/>
  <c r="L45" i="6"/>
  <c r="K45" i="6"/>
  <c r="L24" i="6"/>
  <c r="K24" i="6"/>
  <c r="L121" i="6"/>
  <c r="K121" i="6"/>
  <c r="L47" i="6"/>
  <c r="K47" i="6"/>
  <c r="L12" i="6"/>
  <c r="K12" i="6"/>
  <c r="L21" i="6"/>
  <c r="K21" i="6"/>
  <c r="L25" i="6"/>
  <c r="K25" i="6"/>
  <c r="L58" i="6"/>
  <c r="K58" i="6"/>
  <c r="L59" i="6"/>
  <c r="K59" i="6"/>
  <c r="O225" i="6"/>
  <c r="U225" i="6"/>
  <c r="K14" i="6"/>
  <c r="L14" i="6"/>
  <c r="K8" i="6"/>
  <c r="L8" i="6"/>
  <c r="I108" i="6"/>
  <c r="H108" i="6"/>
  <c r="K18" i="6"/>
  <c r="L18" i="6"/>
  <c r="L17" i="6"/>
  <c r="K17" i="6"/>
  <c r="K23" i="6"/>
  <c r="L23" i="6"/>
  <c r="L56" i="6"/>
  <c r="K56" i="6"/>
  <c r="L46" i="6"/>
  <c r="K46" i="6"/>
  <c r="L37" i="6"/>
  <c r="K37" i="6"/>
  <c r="L16" i="6"/>
  <c r="K16" i="6"/>
  <c r="K19" i="6"/>
  <c r="L19" i="6"/>
  <c r="I90" i="6"/>
  <c r="H90" i="6"/>
  <c r="L38" i="6"/>
  <c r="K38" i="6"/>
  <c r="L61" i="6"/>
  <c r="K61" i="6"/>
  <c r="L44" i="6"/>
  <c r="K44" i="6"/>
  <c r="L62" i="6"/>
  <c r="K62" i="6"/>
  <c r="L49" i="6"/>
  <c r="K49" i="6"/>
  <c r="L28" i="6"/>
  <c r="K28" i="6"/>
  <c r="L60" i="6"/>
  <c r="K60" i="6"/>
  <c r="L50" i="6"/>
  <c r="K50" i="6"/>
  <c r="J178" i="6" l="1"/>
  <c r="L101" i="6"/>
  <c r="K101" i="6"/>
  <c r="L108" i="6"/>
  <c r="H169" i="6"/>
  <c r="E169" i="6"/>
  <c r="J169" i="6"/>
  <c r="L169" i="6" s="1"/>
  <c r="F169" i="6"/>
  <c r="B168" i="1"/>
  <c r="D217" i="2"/>
  <c r="E182" i="6"/>
  <c r="AA47" i="6" a="1"/>
  <c r="AA47" i="6" s="1"/>
  <c r="Z47" i="6" a="1"/>
  <c r="Z47" i="6" s="1"/>
  <c r="Z46" i="6" a="1"/>
  <c r="Z46" i="6" s="1"/>
  <c r="AA46" i="6" a="1"/>
  <c r="AA46" i="6" s="1"/>
  <c r="AA45" i="6" a="1"/>
  <c r="AA45" i="6" s="1"/>
  <c r="Z45" i="6" a="1"/>
  <c r="Z45" i="6" s="1"/>
  <c r="K108" i="6"/>
  <c r="T90" i="6"/>
  <c r="K84" i="6"/>
  <c r="L92" i="6"/>
  <c r="E190" i="6"/>
  <c r="H190" i="6"/>
  <c r="F190" i="6"/>
  <c r="J190" i="6"/>
  <c r="R190" i="6" s="1"/>
  <c r="B180" i="1"/>
  <c r="T100" i="6"/>
  <c r="S92" i="6"/>
  <c r="I125" i="6"/>
  <c r="E178" i="6"/>
  <c r="I178" i="6"/>
  <c r="H125" i="6"/>
  <c r="H193" i="6"/>
  <c r="F176" i="6"/>
  <c r="E202" i="6"/>
  <c r="R82" i="6"/>
  <c r="T82" i="6" s="1"/>
  <c r="H82" i="6"/>
  <c r="R102" i="6"/>
  <c r="T102" i="6" s="1"/>
  <c r="S101" i="6"/>
  <c r="T101" i="6"/>
  <c r="J182" i="6"/>
  <c r="K182" i="6" s="1"/>
  <c r="H134" i="6"/>
  <c r="L112" i="6"/>
  <c r="K197" i="6"/>
  <c r="H196" i="6"/>
  <c r="H203" i="6"/>
  <c r="I134" i="6"/>
  <c r="J203" i="6"/>
  <c r="R203" i="6" s="1"/>
  <c r="F196" i="6"/>
  <c r="S134" i="6"/>
  <c r="B200" i="2" s="1"/>
  <c r="B203" i="2" s="1"/>
  <c r="B205" i="2" s="1"/>
  <c r="S114" i="6"/>
  <c r="T134" i="6"/>
  <c r="T114" i="6"/>
  <c r="K96" i="6"/>
  <c r="F202" i="6"/>
  <c r="L202" i="6"/>
  <c r="H120" i="6"/>
  <c r="R120" i="6"/>
  <c r="J176" i="6"/>
  <c r="L176" i="6" s="1"/>
  <c r="L127" i="6"/>
  <c r="K127" i="6"/>
  <c r="H176" i="6"/>
  <c r="E176" i="6"/>
  <c r="F170" i="6"/>
  <c r="G202" i="6"/>
  <c r="R202" i="6" s="1"/>
  <c r="T202" i="6" s="1"/>
  <c r="K123" i="6"/>
  <c r="K92" i="6"/>
  <c r="L123" i="6"/>
  <c r="E226" i="6"/>
  <c r="K112" i="6"/>
  <c r="I206" i="6"/>
  <c r="K113" i="6"/>
  <c r="T110" i="6"/>
  <c r="L110" i="6"/>
  <c r="S103" i="6"/>
  <c r="L103" i="6"/>
  <c r="K110" i="6"/>
  <c r="T103" i="6"/>
  <c r="R113" i="6"/>
  <c r="S113" i="6" s="1"/>
  <c r="K103" i="6"/>
  <c r="F171" i="6"/>
  <c r="K219" i="6"/>
  <c r="H83" i="6"/>
  <c r="R219" i="6"/>
  <c r="T219" i="6" s="1"/>
  <c r="I124" i="6"/>
  <c r="I129" i="6"/>
  <c r="E192" i="6"/>
  <c r="R129" i="6"/>
  <c r="L87" i="6"/>
  <c r="I93" i="6"/>
  <c r="I171" i="6"/>
  <c r="B108" i="2"/>
  <c r="B85" i="1" s="1"/>
  <c r="B106" i="2"/>
  <c r="B83" i="1" s="1"/>
  <c r="I136" i="6"/>
  <c r="H119" i="6"/>
  <c r="I119" i="6"/>
  <c r="R135" i="6"/>
  <c r="T135" i="6" s="1"/>
  <c r="J177" i="6"/>
  <c r="L177" i="6" s="1"/>
  <c r="S119" i="6"/>
  <c r="T109" i="6"/>
  <c r="H135" i="6"/>
  <c r="T136" i="6"/>
  <c r="S136" i="6"/>
  <c r="O228" i="6"/>
  <c r="P228" i="6" s="1"/>
  <c r="H136" i="6"/>
  <c r="I102" i="6"/>
  <c r="G207" i="6"/>
  <c r="R207" i="6" s="1"/>
  <c r="F207" i="6"/>
  <c r="G222" i="6"/>
  <c r="E222" i="6"/>
  <c r="E207" i="6"/>
  <c r="F200" i="6"/>
  <c r="J222" i="6"/>
  <c r="K222" i="6" s="1"/>
  <c r="E220" i="6"/>
  <c r="E200" i="6"/>
  <c r="J220" i="6"/>
  <c r="R220" i="6" s="1"/>
  <c r="I195" i="6"/>
  <c r="F220" i="6"/>
  <c r="J212" i="6"/>
  <c r="L212" i="6" s="1"/>
  <c r="I121" i="6"/>
  <c r="H170" i="6"/>
  <c r="G226" i="6"/>
  <c r="H226" i="6" s="1"/>
  <c r="F226" i="6"/>
  <c r="H121" i="6"/>
  <c r="J200" i="6"/>
  <c r="K200" i="6" s="1"/>
  <c r="E187" i="6"/>
  <c r="G179" i="6"/>
  <c r="R179" i="6" s="1"/>
  <c r="T179" i="6" s="1"/>
  <c r="R89" i="6"/>
  <c r="S89" i="6" s="1"/>
  <c r="F211" i="6"/>
  <c r="E213" i="6"/>
  <c r="H117" i="6"/>
  <c r="G218" i="6"/>
  <c r="H218" i="6" s="1"/>
  <c r="I89" i="6"/>
  <c r="I87" i="6"/>
  <c r="F216" i="6"/>
  <c r="E203" i="6"/>
  <c r="J193" i="6"/>
  <c r="K193" i="6" s="1"/>
  <c r="H132" i="6"/>
  <c r="F182" i="6"/>
  <c r="F178" i="6"/>
  <c r="G197" i="6"/>
  <c r="R197" i="6" s="1"/>
  <c r="E225" i="6"/>
  <c r="I100" i="6"/>
  <c r="F203" i="6"/>
  <c r="E193" i="6"/>
  <c r="J225" i="6"/>
  <c r="L225" i="6" s="1"/>
  <c r="I132" i="6"/>
  <c r="F225" i="6"/>
  <c r="I105" i="6"/>
  <c r="F193" i="6"/>
  <c r="E197" i="6"/>
  <c r="F197" i="6"/>
  <c r="J196" i="6"/>
  <c r="K196" i="6" s="1"/>
  <c r="E196" i="6"/>
  <c r="H100" i="6"/>
  <c r="L205" i="6"/>
  <c r="L114" i="6"/>
  <c r="K114" i="6"/>
  <c r="E179" i="6"/>
  <c r="F179" i="6"/>
  <c r="I200" i="6"/>
  <c r="K226" i="6"/>
  <c r="G212" i="6"/>
  <c r="H212" i="6" s="1"/>
  <c r="K179" i="6"/>
  <c r="F212" i="6"/>
  <c r="L90" i="6"/>
  <c r="J171" i="6"/>
  <c r="L171" i="6" s="1"/>
  <c r="J183" i="6"/>
  <c r="R183" i="6" s="1"/>
  <c r="S124" i="6"/>
  <c r="R83" i="6"/>
  <c r="T83" i="6" s="1"/>
  <c r="T124" i="6"/>
  <c r="I174" i="6"/>
  <c r="F174" i="6"/>
  <c r="I104" i="6"/>
  <c r="E172" i="6"/>
  <c r="E171" i="6"/>
  <c r="K83" i="6"/>
  <c r="S80" i="6"/>
  <c r="H124" i="6"/>
  <c r="K128" i="6"/>
  <c r="S93" i="6"/>
  <c r="H188" i="6"/>
  <c r="F223" i="6"/>
  <c r="H93" i="6"/>
  <c r="R115" i="6"/>
  <c r="K198" i="6"/>
  <c r="E204" i="6"/>
  <c r="T93" i="6"/>
  <c r="H131" i="6"/>
  <c r="E177" i="6"/>
  <c r="K109" i="6"/>
  <c r="F198" i="6"/>
  <c r="F177" i="6"/>
  <c r="G209" i="6"/>
  <c r="H209" i="6" s="1"/>
  <c r="E209" i="6"/>
  <c r="F188" i="6"/>
  <c r="I173" i="6"/>
  <c r="K209" i="6"/>
  <c r="J173" i="6"/>
  <c r="L173" i="6" s="1"/>
  <c r="L109" i="6"/>
  <c r="R128" i="6"/>
  <c r="E173" i="6"/>
  <c r="I79" i="6"/>
  <c r="J188" i="6"/>
  <c r="R188" i="6" s="1"/>
  <c r="K90" i="6"/>
  <c r="F173" i="6"/>
  <c r="L85" i="6"/>
  <c r="H79" i="6"/>
  <c r="F209" i="6"/>
  <c r="R122" i="6"/>
  <c r="S122" i="6" s="1"/>
  <c r="E191" i="6"/>
  <c r="G191" i="6"/>
  <c r="I191" i="6" s="1"/>
  <c r="H122" i="6"/>
  <c r="K191" i="6"/>
  <c r="F191" i="6"/>
  <c r="F218" i="6"/>
  <c r="K211" i="6"/>
  <c r="L118" i="6"/>
  <c r="E211" i="6"/>
  <c r="J216" i="6"/>
  <c r="K216" i="6" s="1"/>
  <c r="J218" i="6"/>
  <c r="K218" i="6" s="1"/>
  <c r="G211" i="6"/>
  <c r="H211" i="6" s="1"/>
  <c r="J199" i="6"/>
  <c r="R199" i="6" s="1"/>
  <c r="T199" i="6" s="1"/>
  <c r="G216" i="6"/>
  <c r="I216" i="6" s="1"/>
  <c r="H199" i="6"/>
  <c r="I115" i="6"/>
  <c r="E199" i="6"/>
  <c r="R87" i="6"/>
  <c r="S87" i="6" s="1"/>
  <c r="U227" i="6"/>
  <c r="W227" i="6" s="1"/>
  <c r="F199" i="6"/>
  <c r="E227" i="6"/>
  <c r="F201" i="6"/>
  <c r="E217" i="6"/>
  <c r="I201" i="6"/>
  <c r="O227" i="6"/>
  <c r="Q227" i="6" s="1"/>
  <c r="L175" i="6"/>
  <c r="F227" i="6"/>
  <c r="J194" i="6"/>
  <c r="K194" i="6" s="1"/>
  <c r="F186" i="6"/>
  <c r="G194" i="6"/>
  <c r="H194" i="6" s="1"/>
  <c r="G175" i="6"/>
  <c r="R175" i="6" s="1"/>
  <c r="T175" i="6" s="1"/>
  <c r="E175" i="6"/>
  <c r="J201" i="6"/>
  <c r="R201" i="6" s="1"/>
  <c r="F194" i="6"/>
  <c r="F175" i="6"/>
  <c r="S86" i="6"/>
  <c r="K86" i="6"/>
  <c r="L86" i="6"/>
  <c r="J227" i="6"/>
  <c r="L227" i="6" s="1"/>
  <c r="E201" i="6"/>
  <c r="U228" i="6"/>
  <c r="V228" i="6" s="1"/>
  <c r="H219" i="6"/>
  <c r="K207" i="6"/>
  <c r="E183" i="6"/>
  <c r="G210" i="6"/>
  <c r="H210" i="6" s="1"/>
  <c r="E174" i="6"/>
  <c r="L215" i="6"/>
  <c r="T80" i="6"/>
  <c r="B40" i="1"/>
  <c r="F183" i="6"/>
  <c r="E210" i="6"/>
  <c r="F205" i="6"/>
  <c r="J174" i="6"/>
  <c r="L174" i="6" s="1"/>
  <c r="F210" i="6"/>
  <c r="E205" i="6"/>
  <c r="I183" i="6"/>
  <c r="H80" i="6"/>
  <c r="G205" i="6"/>
  <c r="I205" i="6" s="1"/>
  <c r="T104" i="6"/>
  <c r="F215" i="6"/>
  <c r="E208" i="6"/>
  <c r="S104" i="6"/>
  <c r="E215" i="6"/>
  <c r="I80" i="6"/>
  <c r="G215" i="6"/>
  <c r="I215" i="6" s="1"/>
  <c r="H104" i="6"/>
  <c r="S123" i="6"/>
  <c r="I131" i="6"/>
  <c r="H181" i="6"/>
  <c r="G228" i="6"/>
  <c r="H228" i="6" s="1"/>
  <c r="E188" i="6"/>
  <c r="S108" i="6"/>
  <c r="E198" i="6"/>
  <c r="E228" i="6"/>
  <c r="F228" i="6"/>
  <c r="T91" i="6"/>
  <c r="S91" i="6"/>
  <c r="K97" i="6"/>
  <c r="H105" i="6"/>
  <c r="R133" i="6"/>
  <c r="R95" i="6"/>
  <c r="I95" i="6"/>
  <c r="H95" i="6"/>
  <c r="R98" i="6"/>
  <c r="T98" i="6" s="1"/>
  <c r="L97" i="6"/>
  <c r="S96" i="6"/>
  <c r="H98" i="6"/>
  <c r="S105" i="6"/>
  <c r="L96" i="6"/>
  <c r="S97" i="6"/>
  <c r="T105" i="6"/>
  <c r="H106" i="6"/>
  <c r="R111" i="6"/>
  <c r="K111" i="6"/>
  <c r="H133" i="6"/>
  <c r="R116" i="6"/>
  <c r="L116" i="6"/>
  <c r="K116" i="6"/>
  <c r="S90" i="6"/>
  <c r="F206" i="6"/>
  <c r="T79" i="6"/>
  <c r="S79" i="6"/>
  <c r="E206" i="6"/>
  <c r="R85" i="6"/>
  <c r="T85" i="6" s="1"/>
  <c r="R117" i="6"/>
  <c r="T117" i="6" s="1"/>
  <c r="G198" i="6"/>
  <c r="R198" i="6" s="1"/>
  <c r="T198" i="6" s="1"/>
  <c r="K91" i="6"/>
  <c r="L91" i="6"/>
  <c r="E189" i="6"/>
  <c r="E170" i="6"/>
  <c r="J221" i="6"/>
  <c r="K118" i="6"/>
  <c r="J170" i="6"/>
  <c r="L170" i="6" s="1"/>
  <c r="G180" i="6"/>
  <c r="H180" i="6" s="1"/>
  <c r="E180" i="6"/>
  <c r="J195" i="6"/>
  <c r="L195" i="6" s="1"/>
  <c r="F180" i="6"/>
  <c r="F221" i="6"/>
  <c r="T118" i="6"/>
  <c r="S118" i="6"/>
  <c r="E195" i="6"/>
  <c r="E221" i="6"/>
  <c r="H221" i="6"/>
  <c r="F195" i="6"/>
  <c r="R106" i="6"/>
  <c r="T106" i="6" s="1"/>
  <c r="J192" i="6"/>
  <c r="G192" i="6"/>
  <c r="L81" i="6"/>
  <c r="R81" i="6"/>
  <c r="I94" i="6"/>
  <c r="R94" i="6"/>
  <c r="H94" i="6"/>
  <c r="R99" i="6"/>
  <c r="I99" i="6"/>
  <c r="H99" i="6"/>
  <c r="J213" i="6"/>
  <c r="G213" i="6"/>
  <c r="H130" i="6"/>
  <c r="F189" i="6"/>
  <c r="K117" i="6"/>
  <c r="L117" i="6"/>
  <c r="R130" i="6"/>
  <c r="R126" i="6"/>
  <c r="H126" i="6"/>
  <c r="I85" i="6"/>
  <c r="R107" i="6"/>
  <c r="I107" i="6"/>
  <c r="H107" i="6"/>
  <c r="G189" i="6"/>
  <c r="R189" i="6" s="1"/>
  <c r="T189" i="6" s="1"/>
  <c r="H85" i="6"/>
  <c r="J206" i="6"/>
  <c r="L206" i="6" s="1"/>
  <c r="F184" i="6"/>
  <c r="E184" i="6"/>
  <c r="K130" i="6"/>
  <c r="L130" i="6"/>
  <c r="G184" i="6"/>
  <c r="H184" i="6" s="1"/>
  <c r="J204" i="6"/>
  <c r="G204" i="6"/>
  <c r="L184" i="6"/>
  <c r="G208" i="6"/>
  <c r="J208" i="6"/>
  <c r="I219" i="6"/>
  <c r="E214" i="6"/>
  <c r="K88" i="6"/>
  <c r="L88" i="6"/>
  <c r="R88" i="6"/>
  <c r="E224" i="6"/>
  <c r="K224" i="6"/>
  <c r="J181" i="6"/>
  <c r="R181" i="6" s="1"/>
  <c r="E181" i="6"/>
  <c r="F181" i="6"/>
  <c r="G224" i="6"/>
  <c r="F224" i="6"/>
  <c r="R169" i="6"/>
  <c r="K169" i="6"/>
  <c r="J185" i="6"/>
  <c r="G185" i="6"/>
  <c r="K189" i="6"/>
  <c r="F185" i="6"/>
  <c r="G187" i="6"/>
  <c r="J187" i="6"/>
  <c r="G217" i="6"/>
  <c r="J217" i="6"/>
  <c r="J186" i="6"/>
  <c r="G186" i="6"/>
  <c r="G223" i="6"/>
  <c r="J223" i="6"/>
  <c r="G172" i="6"/>
  <c r="J172" i="6"/>
  <c r="J214" i="6"/>
  <c r="G214" i="6"/>
  <c r="L228" i="6"/>
  <c r="S121" i="6"/>
  <c r="T121" i="6"/>
  <c r="I137" i="6"/>
  <c r="H137" i="6"/>
  <c r="K178" i="6"/>
  <c r="L178" i="6"/>
  <c r="R178" i="6"/>
  <c r="Q226" i="6"/>
  <c r="P226" i="6"/>
  <c r="J137" i="6"/>
  <c r="I225" i="6"/>
  <c r="H225" i="6"/>
  <c r="T125" i="6"/>
  <c r="S125" i="6"/>
  <c r="W226" i="6"/>
  <c r="V226" i="6"/>
  <c r="S84" i="6"/>
  <c r="T84" i="6"/>
  <c r="L210" i="6"/>
  <c r="K210" i="6"/>
  <c r="W225" i="6"/>
  <c r="V225" i="6"/>
  <c r="H177" i="6"/>
  <c r="I177" i="6"/>
  <c r="F137" i="6"/>
  <c r="E137" i="6"/>
  <c r="Q225" i="6"/>
  <c r="P225" i="6"/>
  <c r="I220" i="6"/>
  <c r="H220" i="6"/>
  <c r="W137" i="6"/>
  <c r="V137" i="6"/>
  <c r="T132" i="6"/>
  <c r="S132" i="6"/>
  <c r="Q137" i="6"/>
  <c r="P137" i="6"/>
  <c r="K180" i="6"/>
  <c r="L180" i="6"/>
  <c r="I182" i="6"/>
  <c r="H182" i="6"/>
  <c r="S131" i="6"/>
  <c r="T131" i="6"/>
  <c r="T127" i="6"/>
  <c r="S127" i="6"/>
  <c r="S112" i="6"/>
  <c r="T112" i="6"/>
  <c r="I227" i="6"/>
  <c r="H227" i="6"/>
  <c r="K212" i="6" l="1"/>
  <c r="K190" i="6"/>
  <c r="I202" i="6"/>
  <c r="L190" i="6"/>
  <c r="L182" i="6"/>
  <c r="S219" i="6"/>
  <c r="H179" i="6"/>
  <c r="I179" i="6"/>
  <c r="S179" i="6"/>
  <c r="AC47" i="6"/>
  <c r="AD47" i="6" s="1"/>
  <c r="AC46" i="6"/>
  <c r="AD46" i="6" s="1"/>
  <c r="T89" i="6"/>
  <c r="S102" i="6"/>
  <c r="S202" i="6"/>
  <c r="L196" i="6"/>
  <c r="R177" i="6"/>
  <c r="T177" i="6" s="1"/>
  <c r="Q228" i="6"/>
  <c r="B207" i="2"/>
  <c r="S135" i="6"/>
  <c r="S82" i="6"/>
  <c r="K177" i="6"/>
  <c r="S203" i="6"/>
  <c r="I226" i="6"/>
  <c r="R182" i="6"/>
  <c r="T182" i="6" s="1"/>
  <c r="K220" i="6"/>
  <c r="I209" i="6"/>
  <c r="L220" i="6"/>
  <c r="S120" i="6"/>
  <c r="R176" i="6"/>
  <c r="S176" i="6" s="1"/>
  <c r="L203" i="6"/>
  <c r="K203" i="6"/>
  <c r="T203" i="6"/>
  <c r="K176" i="6"/>
  <c r="I212" i="6"/>
  <c r="T120" i="6"/>
  <c r="H202" i="6"/>
  <c r="R228" i="6"/>
  <c r="S228" i="6" s="1"/>
  <c r="S199" i="6"/>
  <c r="K227" i="6"/>
  <c r="R226" i="6"/>
  <c r="L193" i="6"/>
  <c r="T113" i="6"/>
  <c r="I228" i="6"/>
  <c r="R171" i="6"/>
  <c r="T171" i="6" s="1"/>
  <c r="T201" i="6"/>
  <c r="R193" i="6"/>
  <c r="T193" i="6" s="1"/>
  <c r="K171" i="6"/>
  <c r="S201" i="6"/>
  <c r="W228" i="6"/>
  <c r="T122" i="6"/>
  <c r="R196" i="6"/>
  <c r="S196" i="6" s="1"/>
  <c r="R209" i="6"/>
  <c r="H207" i="6"/>
  <c r="I207" i="6"/>
  <c r="L183" i="6"/>
  <c r="R225" i="6"/>
  <c r="T225" i="6" s="1"/>
  <c r="K225" i="6"/>
  <c r="T129" i="6"/>
  <c r="S129" i="6"/>
  <c r="S98" i="6"/>
  <c r="R191" i="6"/>
  <c r="S191" i="6" s="1"/>
  <c r="I197" i="6"/>
  <c r="R215" i="6"/>
  <c r="S215" i="6" s="1"/>
  <c r="K201" i="6"/>
  <c r="L201" i="6"/>
  <c r="H215" i="6"/>
  <c r="R222" i="6"/>
  <c r="S222" i="6" s="1"/>
  <c r="H197" i="6"/>
  <c r="I222" i="6"/>
  <c r="H222" i="6"/>
  <c r="L188" i="6"/>
  <c r="L200" i="6"/>
  <c r="L222" i="6"/>
  <c r="T115" i="6"/>
  <c r="I218" i="6"/>
  <c r="R173" i="6"/>
  <c r="S173" i="6" s="1"/>
  <c r="R200" i="6"/>
  <c r="K173" i="6"/>
  <c r="S115" i="6"/>
  <c r="S83" i="6"/>
  <c r="R212" i="6"/>
  <c r="T212" i="6" s="1"/>
  <c r="K188" i="6"/>
  <c r="H191" i="6"/>
  <c r="S183" i="6"/>
  <c r="K183" i="6"/>
  <c r="T183" i="6"/>
  <c r="T87" i="6"/>
  <c r="K199" i="6"/>
  <c r="L218" i="6"/>
  <c r="I194" i="6"/>
  <c r="V227" i="6"/>
  <c r="H216" i="6"/>
  <c r="T128" i="6"/>
  <c r="P227" i="6"/>
  <c r="L199" i="6"/>
  <c r="S128" i="6"/>
  <c r="R195" i="6"/>
  <c r="S195" i="6" s="1"/>
  <c r="L216" i="6"/>
  <c r="R227" i="6"/>
  <c r="R211" i="6"/>
  <c r="S211" i="6" s="1"/>
  <c r="R218" i="6"/>
  <c r="T218" i="6" s="1"/>
  <c r="I189" i="6"/>
  <c r="H189" i="6"/>
  <c r="I211" i="6"/>
  <c r="R216" i="6"/>
  <c r="T133" i="6"/>
  <c r="H198" i="6"/>
  <c r="I175" i="6"/>
  <c r="K174" i="6"/>
  <c r="I180" i="6"/>
  <c r="H205" i="6"/>
  <c r="R194" i="6"/>
  <c r="S194" i="6" s="1"/>
  <c r="L194" i="6"/>
  <c r="R205" i="6"/>
  <c r="R210" i="6"/>
  <c r="R180" i="6"/>
  <c r="T180" i="6" s="1"/>
  <c r="I210" i="6"/>
  <c r="R174" i="6"/>
  <c r="S175" i="6"/>
  <c r="H175" i="6"/>
  <c r="S117" i="6"/>
  <c r="S133" i="6"/>
  <c r="S95" i="6"/>
  <c r="T95" i="6"/>
  <c r="S111" i="6"/>
  <c r="T111" i="6"/>
  <c r="S116" i="6"/>
  <c r="T116" i="6"/>
  <c r="K195" i="6"/>
  <c r="T130" i="6"/>
  <c r="S189" i="6"/>
  <c r="S85" i="6"/>
  <c r="S130" i="6"/>
  <c r="I198" i="6"/>
  <c r="S198" i="6"/>
  <c r="S169" i="6"/>
  <c r="R170" i="6"/>
  <c r="T170" i="6" s="1"/>
  <c r="K170" i="6"/>
  <c r="L181" i="6"/>
  <c r="S106" i="6"/>
  <c r="L221" i="6"/>
  <c r="R221" i="6"/>
  <c r="R206" i="6"/>
  <c r="T206" i="6" s="1"/>
  <c r="K206" i="6"/>
  <c r="K221" i="6"/>
  <c r="T99" i="6"/>
  <c r="S99" i="6"/>
  <c r="S94" i="6"/>
  <c r="T94" i="6"/>
  <c r="I213" i="6"/>
  <c r="H213" i="6"/>
  <c r="T81" i="6"/>
  <c r="S81" i="6"/>
  <c r="R213" i="6"/>
  <c r="L213" i="6"/>
  <c r="K213" i="6"/>
  <c r="H192" i="6"/>
  <c r="I192" i="6"/>
  <c r="K192" i="6"/>
  <c r="R192" i="6"/>
  <c r="L192" i="6"/>
  <c r="S126" i="6"/>
  <c r="T126" i="6"/>
  <c r="T107" i="6"/>
  <c r="S107" i="6"/>
  <c r="I184" i="6"/>
  <c r="K181" i="6"/>
  <c r="L208" i="6"/>
  <c r="K208" i="6"/>
  <c r="R208" i="6"/>
  <c r="H208" i="6"/>
  <c r="I208" i="6"/>
  <c r="R184" i="6"/>
  <c r="I204" i="6"/>
  <c r="H204" i="6"/>
  <c r="R204" i="6"/>
  <c r="K204" i="6"/>
  <c r="L204" i="6"/>
  <c r="T88" i="6"/>
  <c r="S88" i="6"/>
  <c r="I224" i="6"/>
  <c r="H224" i="6"/>
  <c r="R224" i="6"/>
  <c r="T169" i="6"/>
  <c r="I172" i="6"/>
  <c r="H172" i="6"/>
  <c r="I187" i="6"/>
  <c r="H187" i="6"/>
  <c r="R223" i="6"/>
  <c r="K223" i="6"/>
  <c r="L223" i="6"/>
  <c r="I223" i="6"/>
  <c r="H223" i="6"/>
  <c r="I186" i="6"/>
  <c r="H186" i="6"/>
  <c r="H185" i="6"/>
  <c r="I185" i="6"/>
  <c r="L186" i="6"/>
  <c r="R186" i="6"/>
  <c r="K186" i="6"/>
  <c r="L185" i="6"/>
  <c r="K185" i="6"/>
  <c r="R185" i="6"/>
  <c r="I214" i="6"/>
  <c r="H214" i="6"/>
  <c r="L217" i="6"/>
  <c r="R217" i="6"/>
  <c r="K217" i="6"/>
  <c r="L214" i="6"/>
  <c r="K214" i="6"/>
  <c r="R214" i="6"/>
  <c r="H217" i="6"/>
  <c r="I217" i="6"/>
  <c r="R172" i="6"/>
  <c r="L172" i="6"/>
  <c r="K172" i="6"/>
  <c r="L187" i="6"/>
  <c r="K187" i="6"/>
  <c r="R187" i="6"/>
  <c r="K137" i="6"/>
  <c r="L137" i="6"/>
  <c r="R137" i="6"/>
  <c r="S178" i="6"/>
  <c r="T178" i="6"/>
  <c r="T190" i="6"/>
  <c r="S190" i="6"/>
  <c r="T181" i="6"/>
  <c r="S181" i="6"/>
  <c r="T197" i="6"/>
  <c r="S197" i="6"/>
  <c r="S188" i="6"/>
  <c r="T188" i="6"/>
  <c r="S207" i="6"/>
  <c r="T207" i="6"/>
  <c r="T220" i="6"/>
  <c r="S220" i="6"/>
  <c r="S177" i="6" l="1"/>
  <c r="T176" i="6"/>
  <c r="T228" i="6"/>
  <c r="S182" i="6"/>
  <c r="T215" i="6"/>
  <c r="S171" i="6"/>
  <c r="S209" i="6"/>
  <c r="T196" i="6"/>
  <c r="S193" i="6"/>
  <c r="T209" i="6"/>
  <c r="T191" i="6"/>
  <c r="S226" i="6"/>
  <c r="T226" i="6"/>
  <c r="S200" i="6"/>
  <c r="T200" i="6"/>
  <c r="T173" i="6"/>
  <c r="S225" i="6"/>
  <c r="S174" i="6"/>
  <c r="S212" i="6"/>
  <c r="T222" i="6"/>
  <c r="T227" i="6"/>
  <c r="S227" i="6"/>
  <c r="T174" i="6"/>
  <c r="S218" i="6"/>
  <c r="T194" i="6"/>
  <c r="S216" i="6"/>
  <c r="T195" i="6"/>
  <c r="T216" i="6"/>
  <c r="S210" i="6"/>
  <c r="S170" i="6"/>
  <c r="S180" i="6"/>
  <c r="T211" i="6"/>
  <c r="T210" i="6"/>
  <c r="S205" i="6"/>
  <c r="T205" i="6"/>
  <c r="T221" i="6"/>
  <c r="S221" i="6"/>
  <c r="S206" i="6"/>
  <c r="T213" i="6"/>
  <c r="S213" i="6"/>
  <c r="T192" i="6"/>
  <c r="S192" i="6"/>
  <c r="T184" i="6"/>
  <c r="S184" i="6"/>
  <c r="T208" i="6"/>
  <c r="S208" i="6"/>
  <c r="T204" i="6"/>
  <c r="S204" i="6"/>
  <c r="T224" i="6"/>
  <c r="S224" i="6"/>
  <c r="B244" i="2" s="1"/>
  <c r="B247" i="2" s="1"/>
  <c r="T217" i="6"/>
  <c r="S217" i="6"/>
  <c r="S186" i="6"/>
  <c r="T186" i="6"/>
  <c r="T172" i="6"/>
  <c r="S172" i="6"/>
  <c r="S223" i="6"/>
  <c r="T223" i="6"/>
  <c r="T187" i="6"/>
  <c r="S187" i="6"/>
  <c r="T214" i="6"/>
  <c r="S214" i="6"/>
  <c r="T185" i="6"/>
  <c r="S185" i="6"/>
  <c r="S137" i="6"/>
  <c r="T137" i="6"/>
  <c r="B249" i="2" l="1"/>
  <c r="B251" i="2"/>
  <c r="X173" i="6"/>
  <c r="Y173" i="6" s="1"/>
  <c r="X108" i="6"/>
  <c r="Y108" i="6" s="1"/>
  <c r="X126" i="6"/>
  <c r="Y126" i="6" s="1"/>
  <c r="X81" i="6"/>
  <c r="Y81" i="6" s="1"/>
  <c r="X176" i="6"/>
  <c r="Y176" i="6" s="1"/>
  <c r="X124" i="6"/>
  <c r="Y124" i="6" s="1"/>
  <c r="AA124" i="6" s="1"/>
  <c r="X190" i="6"/>
  <c r="Y190" i="6" s="1"/>
  <c r="AA190" i="6" s="1"/>
  <c r="X179" i="6"/>
  <c r="Y179" i="6" s="1"/>
  <c r="Z179" i="6" s="1"/>
  <c r="X199" i="6"/>
  <c r="Y199" i="6" s="1"/>
  <c r="AA199" i="6" s="1"/>
  <c r="X96" i="6"/>
  <c r="Y96" i="6" s="1"/>
  <c r="Z96" i="6" s="1"/>
  <c r="X106" i="6"/>
  <c r="Y106" i="6" s="1"/>
  <c r="Z106" i="6" s="1"/>
  <c r="X209" i="6"/>
  <c r="Y209" i="6" s="1"/>
  <c r="Z209" i="6" s="1"/>
  <c r="X109" i="6"/>
  <c r="Y109" i="6" s="1"/>
  <c r="AA109" i="6" s="1"/>
  <c r="X79" i="6"/>
  <c r="Y79" i="6" s="1"/>
  <c r="AA79" i="6" s="1"/>
  <c r="X211" i="6"/>
  <c r="Y211" i="6" s="1"/>
  <c r="AA211" i="6" s="1"/>
  <c r="X135" i="6"/>
  <c r="Y135" i="6" s="1"/>
  <c r="Z135" i="6" s="1"/>
  <c r="X222" i="6"/>
  <c r="Y222" i="6" s="1"/>
  <c r="Z222" i="6" s="1"/>
  <c r="X206" i="6"/>
  <c r="Y206" i="6" s="1"/>
  <c r="X201" i="6"/>
  <c r="Y201" i="6" s="1"/>
  <c r="Z173" i="6" l="1"/>
  <c r="AA173" i="6"/>
  <c r="AA206" i="6"/>
  <c r="Z206" i="6"/>
  <c r="AA81" i="6"/>
  <c r="Z81" i="6"/>
  <c r="AA126" i="6"/>
  <c r="Z126" i="6"/>
  <c r="Z176" i="6"/>
  <c r="AA176" i="6"/>
  <c r="Z108" i="6"/>
  <c r="AA108" i="6"/>
  <c r="AA201" i="6"/>
  <c r="Z201" i="6"/>
  <c r="Z211" i="6"/>
  <c r="X80" i="6"/>
  <c r="Y80" i="6" s="1"/>
  <c r="X172" i="6"/>
  <c r="Y172" i="6" s="1"/>
  <c r="Z199" i="6"/>
  <c r="X189" i="6"/>
  <c r="Y189" i="6" s="1"/>
  <c r="X210" i="6"/>
  <c r="Y210" i="6" s="1"/>
  <c r="AA106" i="6"/>
  <c r="X91" i="6"/>
  <c r="Y91" i="6" s="1"/>
  <c r="X125" i="6"/>
  <c r="Y125" i="6" s="1"/>
  <c r="X133" i="6"/>
  <c r="Y133" i="6" s="1"/>
  <c r="X196" i="6"/>
  <c r="Y196" i="6" s="1"/>
  <c r="AA209" i="6"/>
  <c r="X213" i="6"/>
  <c r="Y213" i="6" s="1"/>
  <c r="X95" i="6"/>
  <c r="Y95" i="6" s="1"/>
  <c r="X113" i="6"/>
  <c r="Y113" i="6" s="1"/>
  <c r="X93" i="6"/>
  <c r="Y93" i="6" s="1"/>
  <c r="X117" i="6"/>
  <c r="Y117" i="6" s="1"/>
  <c r="X94" i="6"/>
  <c r="Y94" i="6" s="1"/>
  <c r="X112" i="6"/>
  <c r="Y112" i="6" s="1"/>
  <c r="X214" i="6"/>
  <c r="Y214" i="6" s="1"/>
  <c r="X194" i="6"/>
  <c r="Y194" i="6" s="1"/>
  <c r="X104" i="6"/>
  <c r="Y104" i="6" s="1"/>
  <c r="X187" i="6"/>
  <c r="Y187" i="6" s="1"/>
  <c r="X101" i="6"/>
  <c r="Y101" i="6" s="1"/>
  <c r="X127" i="6"/>
  <c r="Y127" i="6" s="1"/>
  <c r="X123" i="6"/>
  <c r="Y123" i="6" s="1"/>
  <c r="X137" i="6"/>
  <c r="Y137" i="6" s="1"/>
  <c r="X221" i="6"/>
  <c r="Y221" i="6" s="1"/>
  <c r="X188" i="6"/>
  <c r="Y188" i="6" s="1"/>
  <c r="X219" i="6"/>
  <c r="Y219" i="6" s="1"/>
  <c r="X177" i="6"/>
  <c r="Y177" i="6" s="1"/>
  <c r="X193" i="6"/>
  <c r="Y193" i="6" s="1"/>
  <c r="X184" i="6"/>
  <c r="Y184" i="6" s="1"/>
  <c r="X132" i="6"/>
  <c r="Y132" i="6" s="1"/>
  <c r="Z190" i="6"/>
  <c r="Z79" i="6"/>
  <c r="X119" i="6"/>
  <c r="Y119" i="6" s="1"/>
  <c r="X98" i="6"/>
  <c r="Y98" i="6" s="1"/>
  <c r="X89" i="6"/>
  <c r="Y89" i="6" s="1"/>
  <c r="AA179" i="6"/>
  <c r="X170" i="6"/>
  <c r="Y170" i="6" s="1"/>
  <c r="X111" i="6"/>
  <c r="Y111" i="6" s="1"/>
  <c r="X200" i="6"/>
  <c r="Y200" i="6" s="1"/>
  <c r="X202" i="6"/>
  <c r="Y202" i="6" s="1"/>
  <c r="X204" i="6"/>
  <c r="Y204" i="6" s="1"/>
  <c r="X181" i="6"/>
  <c r="Y181" i="6" s="1"/>
  <c r="X134" i="6"/>
  <c r="Y134" i="6" s="1"/>
  <c r="X220" i="6"/>
  <c r="Y220" i="6" s="1"/>
  <c r="X171" i="6"/>
  <c r="Y171" i="6" s="1"/>
  <c r="X115" i="6"/>
  <c r="Y115" i="6" s="1"/>
  <c r="X227" i="6"/>
  <c r="Y227" i="6" s="1"/>
  <c r="X130" i="6"/>
  <c r="Y130" i="6" s="1"/>
  <c r="X183" i="6"/>
  <c r="Y183" i="6" s="1"/>
  <c r="X116" i="6"/>
  <c r="Y116" i="6" s="1"/>
  <c r="X105" i="6"/>
  <c r="Y105" i="6" s="1"/>
  <c r="X207" i="6"/>
  <c r="Y207" i="6" s="1"/>
  <c r="X87" i="6"/>
  <c r="Y87" i="6" s="1"/>
  <c r="X103" i="6"/>
  <c r="Y103" i="6" s="1"/>
  <c r="X198" i="6"/>
  <c r="Y198" i="6" s="1"/>
  <c r="X128" i="6"/>
  <c r="Y128" i="6" s="1"/>
  <c r="Z124" i="6"/>
  <c r="X131" i="6"/>
  <c r="Y131" i="6" s="1"/>
  <c r="X192" i="6"/>
  <c r="Y192" i="6" s="1"/>
  <c r="X114" i="6"/>
  <c r="Y114" i="6" s="1"/>
  <c r="AA96" i="6"/>
  <c r="X203" i="6"/>
  <c r="Y203" i="6" s="1"/>
  <c r="X82" i="6"/>
  <c r="Y82" i="6" s="1"/>
  <c r="Z109" i="6"/>
  <c r="X99" i="6"/>
  <c r="Y99" i="6" s="1"/>
  <c r="X191" i="6"/>
  <c r="Y191" i="6" s="1"/>
  <c r="X136" i="6"/>
  <c r="Y136" i="6" s="1"/>
  <c r="X97" i="6"/>
  <c r="Y97" i="6" s="1"/>
  <c r="X186" i="6"/>
  <c r="Y186" i="6" s="1"/>
  <c r="X84" i="6"/>
  <c r="Y84" i="6" s="1"/>
  <c r="B257" i="2"/>
  <c r="X215" i="6"/>
  <c r="Y215" i="6" s="1"/>
  <c r="X182" i="6"/>
  <c r="Y182" i="6" s="1"/>
  <c r="X110" i="6"/>
  <c r="Y110" i="6" s="1"/>
  <c r="X122" i="6"/>
  <c r="Y122" i="6" s="1"/>
  <c r="X121" i="6"/>
  <c r="Y121" i="6" s="1"/>
  <c r="X120" i="6"/>
  <c r="Y120" i="6" s="1"/>
  <c r="X178" i="6"/>
  <c r="Y178" i="6" s="1"/>
  <c r="X169" i="6"/>
  <c r="Y169" i="6" s="1"/>
  <c r="X90" i="6"/>
  <c r="Y90" i="6" s="1"/>
  <c r="X195" i="6"/>
  <c r="Y195" i="6" s="1"/>
  <c r="X217" i="6"/>
  <c r="Y217" i="6" s="1"/>
  <c r="X92" i="6"/>
  <c r="Y92" i="6" s="1"/>
  <c r="X88" i="6"/>
  <c r="Y88" i="6" s="1"/>
  <c r="X197" i="6"/>
  <c r="Y197" i="6" s="1"/>
  <c r="X218" i="6"/>
  <c r="Y218" i="6" s="1"/>
  <c r="X83" i="6"/>
  <c r="Y83" i="6" s="1"/>
  <c r="X85" i="6"/>
  <c r="Y85" i="6" s="1"/>
  <c r="X225" i="6"/>
  <c r="Y225" i="6" s="1"/>
  <c r="X205" i="6"/>
  <c r="Y205" i="6" s="1"/>
  <c r="AA135" i="6"/>
  <c r="AA222" i="6"/>
  <c r="X208" i="6"/>
  <c r="Y208" i="6" s="1"/>
  <c r="X107" i="6"/>
  <c r="Y107" i="6" s="1"/>
  <c r="X129" i="6"/>
  <c r="Y129" i="6" s="1"/>
  <c r="X228" i="6"/>
  <c r="Y228" i="6" s="1"/>
  <c r="X224" i="6"/>
  <c r="Y224" i="6" s="1"/>
  <c r="X174" i="6"/>
  <c r="Y174" i="6" s="1"/>
  <c r="X100" i="6"/>
  <c r="Y100" i="6" s="1"/>
  <c r="X212" i="6"/>
  <c r="Y212" i="6" s="1"/>
  <c r="X216" i="6"/>
  <c r="Y216" i="6" s="1"/>
  <c r="X180" i="6"/>
  <c r="Y180" i="6" s="1"/>
  <c r="X86" i="6"/>
  <c r="Y86" i="6" s="1"/>
  <c r="X185" i="6"/>
  <c r="Y185" i="6" s="1"/>
  <c r="X226" i="6"/>
  <c r="Y226" i="6" s="1"/>
  <c r="X102" i="6"/>
  <c r="Y102" i="6" s="1"/>
  <c r="X118" i="6"/>
  <c r="Y118" i="6" s="1"/>
  <c r="X223" i="6"/>
  <c r="Y223" i="6" s="1"/>
  <c r="X175" i="6"/>
  <c r="Y175" i="6" s="1"/>
  <c r="Z208" i="6" l="1"/>
  <c r="AA208" i="6"/>
  <c r="AA180" i="6"/>
  <c r="Z180" i="6"/>
  <c r="AA107" i="6"/>
  <c r="Z107" i="6"/>
  <c r="Z218" i="6"/>
  <c r="AA218" i="6"/>
  <c r="AA178" i="6"/>
  <c r="Z178" i="6"/>
  <c r="Z84" i="6"/>
  <c r="AA84" i="6"/>
  <c r="Z203" i="6"/>
  <c r="AA203" i="6"/>
  <c r="Z103" i="6"/>
  <c r="AA103" i="6"/>
  <c r="AA115" i="6"/>
  <c r="Z115" i="6"/>
  <c r="Z111" i="6"/>
  <c r="AA111" i="6"/>
  <c r="AA132" i="6"/>
  <c r="Z132" i="6"/>
  <c r="AA123" i="6"/>
  <c r="Z123" i="6"/>
  <c r="Z94" i="6"/>
  <c r="AA94" i="6"/>
  <c r="AA133" i="6"/>
  <c r="Z133" i="6"/>
  <c r="AA80" i="6"/>
  <c r="Z80" i="6"/>
  <c r="AA197" i="6"/>
  <c r="Z197" i="6"/>
  <c r="AA87" i="6"/>
  <c r="Z87" i="6"/>
  <c r="AA171" i="6"/>
  <c r="Z171" i="6"/>
  <c r="Z170" i="6"/>
  <c r="AA170" i="6"/>
  <c r="AA184" i="6"/>
  <c r="Z184" i="6"/>
  <c r="AA127" i="6"/>
  <c r="Z127" i="6"/>
  <c r="Z117" i="6"/>
  <c r="AA117" i="6"/>
  <c r="AA125" i="6"/>
  <c r="Z125" i="6"/>
  <c r="Z120" i="6"/>
  <c r="AA120" i="6"/>
  <c r="AA223" i="6"/>
  <c r="Z223" i="6"/>
  <c r="AA88" i="6"/>
  <c r="Z88" i="6"/>
  <c r="Z121" i="6"/>
  <c r="AA121" i="6"/>
  <c r="AA97" i="6"/>
  <c r="Z97" i="6"/>
  <c r="Z114" i="6"/>
  <c r="AA114" i="6"/>
  <c r="Z207" i="6"/>
  <c r="AA207" i="6"/>
  <c r="AA220" i="6"/>
  <c r="Z220" i="6"/>
  <c r="Z193" i="6"/>
  <c r="AA193" i="6"/>
  <c r="Z101" i="6"/>
  <c r="AA101" i="6"/>
  <c r="Z93" i="6"/>
  <c r="AA93" i="6"/>
  <c r="AA91" i="6"/>
  <c r="Z91" i="6"/>
  <c r="Z216" i="6"/>
  <c r="AA216" i="6"/>
  <c r="Z186" i="6"/>
  <c r="AA186" i="6"/>
  <c r="AA212" i="6"/>
  <c r="Z212" i="6"/>
  <c r="AA118" i="6"/>
  <c r="Z118" i="6"/>
  <c r="Z100" i="6"/>
  <c r="AA100" i="6"/>
  <c r="AA92" i="6"/>
  <c r="Z92" i="6"/>
  <c r="AA122" i="6"/>
  <c r="Z122" i="6"/>
  <c r="AA136" i="6"/>
  <c r="Z136" i="6"/>
  <c r="AA192" i="6"/>
  <c r="Z192" i="6"/>
  <c r="AA105" i="6"/>
  <c r="Z105" i="6"/>
  <c r="Z134" i="6"/>
  <c r="AA134" i="6"/>
  <c r="AA89" i="6"/>
  <c r="Z89" i="6"/>
  <c r="Z177" i="6"/>
  <c r="AA177" i="6"/>
  <c r="AA187" i="6"/>
  <c r="Z187" i="6"/>
  <c r="Z113" i="6"/>
  <c r="AA113" i="6"/>
  <c r="Z175" i="6"/>
  <c r="AA175" i="6"/>
  <c r="AA102" i="6"/>
  <c r="Z102" i="6"/>
  <c r="AA174" i="6"/>
  <c r="Z174" i="6"/>
  <c r="AA205" i="6"/>
  <c r="Z205" i="6"/>
  <c r="AA217" i="6"/>
  <c r="Z217" i="6"/>
  <c r="Z110" i="6"/>
  <c r="AA110" i="6"/>
  <c r="Z191" i="6"/>
  <c r="AA191" i="6"/>
  <c r="Z131" i="6"/>
  <c r="AA131" i="6"/>
  <c r="Z116" i="6"/>
  <c r="AA116" i="6"/>
  <c r="AA181" i="6"/>
  <c r="Z181" i="6"/>
  <c r="AA98" i="6"/>
  <c r="Z98" i="6"/>
  <c r="AA219" i="6"/>
  <c r="Z219" i="6"/>
  <c r="Z104" i="6"/>
  <c r="AA104" i="6"/>
  <c r="AA95" i="6"/>
  <c r="Z95" i="6"/>
  <c r="Z210" i="6"/>
  <c r="AA210" i="6"/>
  <c r="AA226" i="6"/>
  <c r="Z226" i="6"/>
  <c r="AA195" i="6"/>
  <c r="Z195" i="6"/>
  <c r="Z183" i="6"/>
  <c r="AA183" i="6"/>
  <c r="Z204" i="6"/>
  <c r="AA204" i="6"/>
  <c r="Z119" i="6"/>
  <c r="AA119" i="6"/>
  <c r="Z188" i="6"/>
  <c r="AA188" i="6"/>
  <c r="Z194" i="6"/>
  <c r="AA194" i="6"/>
  <c r="Z213" i="6"/>
  <c r="AA213" i="6"/>
  <c r="AA189" i="6"/>
  <c r="Z189" i="6"/>
  <c r="AA224" i="6"/>
  <c r="Z224" i="6"/>
  <c r="AA182" i="6"/>
  <c r="Z182" i="6"/>
  <c r="Z185" i="6"/>
  <c r="AA185" i="6"/>
  <c r="AA228" i="6"/>
  <c r="Z228" i="6"/>
  <c r="Z85" i="6"/>
  <c r="AA85" i="6"/>
  <c r="AA90" i="6"/>
  <c r="Z90" i="6"/>
  <c r="AA215" i="6"/>
  <c r="Z215" i="6"/>
  <c r="Z128" i="6"/>
  <c r="AA128" i="6"/>
  <c r="Z130" i="6"/>
  <c r="AA130" i="6"/>
  <c r="AA202" i="6"/>
  <c r="Z202" i="6"/>
  <c r="Z221" i="6"/>
  <c r="AA221" i="6"/>
  <c r="Z214" i="6"/>
  <c r="AA214" i="6"/>
  <c r="AA225" i="6"/>
  <c r="Z225" i="6"/>
  <c r="AA99" i="6"/>
  <c r="Z99" i="6"/>
  <c r="Z86" i="6"/>
  <c r="AA86" i="6"/>
  <c r="Z129" i="6"/>
  <c r="AA129" i="6"/>
  <c r="AA83" i="6"/>
  <c r="Z83" i="6"/>
  <c r="Z169" i="6"/>
  <c r="AA169" i="6"/>
  <c r="Z82" i="6"/>
  <c r="AA82" i="6"/>
  <c r="AA198" i="6"/>
  <c r="Z198" i="6"/>
  <c r="AA227" i="6"/>
  <c r="Z227" i="6"/>
  <c r="Z200" i="6"/>
  <c r="AA200" i="6"/>
  <c r="AA137" i="6"/>
  <c r="Z137" i="6"/>
  <c r="AA112" i="6"/>
  <c r="Z112" i="6"/>
  <c r="AA196" i="6"/>
  <c r="Z196" i="6"/>
  <c r="AA172" i="6"/>
  <c r="Z172" i="6"/>
  <c r="AG129" i="6" l="1" a="1"/>
  <c r="AG129" i="6" s="1"/>
  <c r="AH129" i="6" a="1"/>
  <c r="AH129" i="6" s="1"/>
  <c r="AH218" i="6" a="1"/>
  <c r="AH218" i="6" s="1"/>
  <c r="AH217" i="6" a="1"/>
  <c r="AH217" i="6" s="1"/>
  <c r="AG218" i="6" a="1"/>
  <c r="AG218" i="6" s="1"/>
  <c r="AG217" i="6" a="1"/>
  <c r="AG217" i="6" s="1"/>
  <c r="AH216" i="6" a="1"/>
  <c r="AH216" i="6" s="1"/>
  <c r="AG216" i="6" a="1"/>
  <c r="AG216" i="6" s="1"/>
  <c r="AG127" i="6" a="1"/>
  <c r="AG127" i="6" s="1"/>
  <c r="AH127" i="6" a="1"/>
  <c r="AH127" i="6" s="1"/>
  <c r="AG128" i="6" a="1"/>
  <c r="AG128" i="6" s="1"/>
  <c r="AH128" i="6" a="1"/>
  <c r="AH128" i="6" s="1"/>
  <c r="AJ128" i="6" l="1"/>
  <c r="AK128" i="6" s="1"/>
  <c r="AJ129" i="6"/>
  <c r="AK129" i="6" s="1"/>
  <c r="AJ217" i="6"/>
  <c r="AK217" i="6" s="1"/>
  <c r="AJ218" i="6"/>
  <c r="AK218" i="6" s="1"/>
</calcChain>
</file>

<file path=xl/comments1.xml><?xml version="1.0" encoding="utf-8"?>
<comments xmlns="http://schemas.openxmlformats.org/spreadsheetml/2006/main">
  <authors>
    <author>PPD-NPS</author>
    <author>Ji, Feng</author>
    <author>Cai, Yinsong</author>
  </authors>
  <commentList>
    <comment ref="G5" authorId="0" shapeId="0">
      <text>
        <r>
          <rPr>
            <b/>
            <sz val="9"/>
            <color indexed="81"/>
            <rFont val="Tahoma"/>
            <family val="2"/>
          </rPr>
          <t xml:space="preserve">Welcome to the LM5171 Quickstart Design Tool
</t>
        </r>
        <r>
          <rPr>
            <sz val="9"/>
            <color indexed="81"/>
            <rFont val="Tahoma"/>
            <family val="2"/>
          </rPr>
          <t>This stand-alone tool facilitates and assists the power supply engineer with design of a DC/DC bi-directional buck/boost converter based on the LM5171 controller.</t>
        </r>
        <r>
          <rPr>
            <b/>
            <sz val="9"/>
            <color indexed="81"/>
            <rFont val="Tahoma"/>
            <family val="2"/>
          </rPr>
          <t xml:space="preserve">
U.S. English notation is used throughout.
https://www.ti.com/product/LM5171-Q1
Rev 1.0, Texas Instruments, Inc.</t>
        </r>
        <r>
          <rPr>
            <sz val="9"/>
            <color indexed="81"/>
            <rFont val="Tahoma"/>
            <family val="2"/>
          </rPr>
          <t xml:space="preserve">
</t>
        </r>
      </text>
    </comment>
    <comment ref="B11" authorId="0" shapeId="0">
      <text>
        <r>
          <rPr>
            <b/>
            <sz val="9"/>
            <color indexed="81"/>
            <rFont val="Tahoma"/>
            <family val="2"/>
          </rPr>
          <t>HV Port Minimum Voltage:</t>
        </r>
        <r>
          <rPr>
            <sz val="9"/>
            <color indexed="81"/>
            <rFont val="Tahoma"/>
            <family val="2"/>
          </rPr>
          <t xml:space="preserve">
Datasheet Operating </t>
        </r>
        <r>
          <rPr>
            <b/>
            <sz val="9"/>
            <color indexed="81"/>
            <rFont val="Tahoma"/>
            <family val="2"/>
          </rPr>
          <t>Minimum: 3V</t>
        </r>
      </text>
    </comment>
    <comment ref="B12" authorId="0" shapeId="0">
      <text>
        <r>
          <rPr>
            <b/>
            <sz val="9"/>
            <color indexed="81"/>
            <rFont val="Tahoma"/>
            <family val="2"/>
          </rPr>
          <t xml:space="preserve">HV Port Nominal Voltage:
</t>
        </r>
        <r>
          <rPr>
            <sz val="9"/>
            <color indexed="81"/>
            <rFont val="Tahoma"/>
            <family val="2"/>
          </rPr>
          <t>This is the nominal INPUT voltage in BUCK MODE. 
It is also the set output voltage in BOOST MODE.</t>
        </r>
      </text>
    </comment>
    <comment ref="B13" authorId="0" shapeId="0">
      <text>
        <r>
          <rPr>
            <b/>
            <sz val="9"/>
            <color indexed="81"/>
            <rFont val="Tahoma"/>
            <family val="2"/>
          </rPr>
          <t xml:space="preserve">HV Port Maximum Voltage:
</t>
        </r>
        <r>
          <rPr>
            <sz val="9"/>
            <color indexed="81"/>
            <rFont val="Tahoma"/>
            <family val="2"/>
          </rPr>
          <t xml:space="preserve">Enter the expected Maximum voltage at the HV-Port
Recommended maximum operating voltage: 80V
(Do not go below the Datasheet Operating Minimum Voltages)
</t>
        </r>
      </text>
    </comment>
    <comment ref="B16" authorId="0" shapeId="0">
      <text>
        <r>
          <rPr>
            <b/>
            <sz val="9"/>
            <color indexed="81"/>
            <rFont val="Tahoma"/>
            <family val="2"/>
          </rPr>
          <t>LV Port Minimum Voltage:</t>
        </r>
        <r>
          <rPr>
            <sz val="9"/>
            <color indexed="81"/>
            <rFont val="Tahoma"/>
            <family val="2"/>
          </rPr>
          <t xml:space="preserve">
Enter the expected minimum voltage at the LV-Port
Datasheet Operating </t>
        </r>
        <r>
          <rPr>
            <b/>
            <u/>
            <sz val="9"/>
            <color indexed="81"/>
            <rFont val="Tahoma"/>
            <family val="2"/>
          </rPr>
          <t>Minimum</t>
        </r>
        <r>
          <rPr>
            <b/>
            <sz val="9"/>
            <color indexed="81"/>
            <rFont val="Tahoma"/>
            <family val="2"/>
          </rPr>
          <t xml:space="preserve"> (BOOST MODE): 1V</t>
        </r>
        <r>
          <rPr>
            <sz val="9"/>
            <color indexed="81"/>
            <rFont val="Tahoma"/>
            <family val="2"/>
          </rPr>
          <t xml:space="preserve">
Datasheet Operating </t>
        </r>
        <r>
          <rPr>
            <b/>
            <u/>
            <sz val="9"/>
            <color indexed="81"/>
            <rFont val="Tahoma"/>
            <family val="2"/>
          </rPr>
          <t>Minimum</t>
        </r>
        <r>
          <rPr>
            <b/>
            <sz val="9"/>
            <color indexed="81"/>
            <rFont val="Tahoma"/>
            <family val="2"/>
          </rPr>
          <t xml:space="preserve"> (BUCK MODE): 0V</t>
        </r>
        <r>
          <rPr>
            <sz val="9"/>
            <color indexed="81"/>
            <rFont val="Tahoma"/>
            <family val="2"/>
          </rPr>
          <t xml:space="preserve">
(Do not go below the Datasheet Operating Minimum Voltages)</t>
        </r>
      </text>
    </comment>
    <comment ref="B17" authorId="0" shapeId="0">
      <text>
        <r>
          <rPr>
            <b/>
            <sz val="9"/>
            <color indexed="81"/>
            <rFont val="Tahoma"/>
            <family val="2"/>
          </rPr>
          <t xml:space="preserve">LV Port Nominal Voltage:
</t>
        </r>
        <r>
          <rPr>
            <sz val="9"/>
            <color indexed="81"/>
            <rFont val="Tahoma"/>
            <family val="2"/>
          </rPr>
          <t xml:space="preserve">
This is the nominal input voltage in BOOST MODE. 
It is also the set output voltage in BUCK MODE.</t>
        </r>
      </text>
    </comment>
    <comment ref="B18" authorId="0" shapeId="0">
      <text>
        <r>
          <rPr>
            <b/>
            <sz val="9"/>
            <color indexed="81"/>
            <rFont val="Tahoma"/>
            <family val="2"/>
          </rPr>
          <t xml:space="preserve">LV Port Maximum Voltage:
</t>
        </r>
        <r>
          <rPr>
            <sz val="9"/>
            <color indexed="81"/>
            <rFont val="Tahoma"/>
            <family val="2"/>
          </rPr>
          <t>Enter the expected maximum voltage at the LV-Port</t>
        </r>
        <r>
          <rPr>
            <b/>
            <sz val="9"/>
            <color indexed="81"/>
            <rFont val="Tahoma"/>
            <family val="2"/>
          </rPr>
          <t xml:space="preserve">
</t>
        </r>
        <r>
          <rPr>
            <sz val="9"/>
            <color indexed="81"/>
            <rFont val="Tahoma"/>
            <family val="2"/>
          </rPr>
          <t>Recommended maximum operating voltage: 80V</t>
        </r>
      </text>
    </comment>
    <comment ref="B21" authorId="0" shapeId="0">
      <text>
        <r>
          <rPr>
            <b/>
            <sz val="9"/>
            <color indexed="81"/>
            <rFont val="Tahoma"/>
            <family val="2"/>
          </rPr>
          <t xml:space="preserve">Selected Switching Frequency:
</t>
        </r>
        <r>
          <rPr>
            <sz val="9"/>
            <color indexed="81"/>
            <rFont val="Tahoma"/>
            <family val="2"/>
          </rPr>
          <t>Recommended Operating</t>
        </r>
        <r>
          <rPr>
            <b/>
            <sz val="9"/>
            <color indexed="81"/>
            <rFont val="Tahoma"/>
            <family val="2"/>
          </rPr>
          <t xml:space="preserve"> </t>
        </r>
        <r>
          <rPr>
            <b/>
            <u/>
            <sz val="9"/>
            <color indexed="81"/>
            <rFont val="Tahoma"/>
            <family val="2"/>
          </rPr>
          <t>Minimum</t>
        </r>
        <r>
          <rPr>
            <sz val="9"/>
            <color indexed="81"/>
            <rFont val="Tahoma"/>
            <family val="2"/>
          </rPr>
          <t xml:space="preserve"> Switching Frequency: </t>
        </r>
        <r>
          <rPr>
            <b/>
            <sz val="9"/>
            <color indexed="81"/>
            <rFont val="Tahoma"/>
            <family val="2"/>
          </rPr>
          <t>50 kHz</t>
        </r>
        <r>
          <rPr>
            <sz val="9"/>
            <color indexed="81"/>
            <rFont val="Tahoma"/>
            <family val="2"/>
          </rPr>
          <t xml:space="preserve">
Recommended Operating </t>
        </r>
        <r>
          <rPr>
            <b/>
            <u/>
            <sz val="9"/>
            <color indexed="81"/>
            <rFont val="Tahoma"/>
            <family val="2"/>
          </rPr>
          <t>Maximum</t>
        </r>
        <r>
          <rPr>
            <b/>
            <sz val="9"/>
            <color indexed="81"/>
            <rFont val="Tahoma"/>
            <family val="2"/>
          </rPr>
          <t xml:space="preserve"> </t>
        </r>
        <r>
          <rPr>
            <sz val="9"/>
            <color indexed="81"/>
            <rFont val="Tahoma"/>
            <family val="2"/>
          </rPr>
          <t xml:space="preserve">Switching Frequency: </t>
        </r>
        <r>
          <rPr>
            <b/>
            <sz val="9"/>
            <color indexed="81"/>
            <rFont val="Tahoma"/>
            <family val="2"/>
          </rPr>
          <t>1000 kHz</t>
        </r>
        <r>
          <rPr>
            <sz val="9"/>
            <color indexed="81"/>
            <rFont val="Tahoma"/>
            <family val="2"/>
          </rPr>
          <t xml:space="preserve">
</t>
        </r>
      </text>
    </comment>
    <comment ref="B22" authorId="0" shapeId="0">
      <text>
        <r>
          <rPr>
            <b/>
            <sz val="9"/>
            <color indexed="81"/>
            <rFont val="Tahoma"/>
            <family val="2"/>
          </rPr>
          <t>Oscillator Set Resistor (R</t>
        </r>
        <r>
          <rPr>
            <b/>
            <vertAlign val="subscript"/>
            <sz val="9"/>
            <color indexed="81"/>
            <rFont val="Tahoma"/>
            <family val="2"/>
          </rPr>
          <t>OSC</t>
        </r>
        <r>
          <rPr>
            <b/>
            <sz val="9"/>
            <color indexed="81"/>
            <rFont val="Tahoma"/>
            <family val="2"/>
          </rPr>
          <t xml:space="preserve">):
</t>
        </r>
        <r>
          <rPr>
            <sz val="9"/>
            <color indexed="81"/>
            <rFont val="Tahoma"/>
            <family val="2"/>
          </rPr>
          <t>This value is calculated based on the "</t>
        </r>
        <r>
          <rPr>
            <b/>
            <sz val="9"/>
            <color indexed="81"/>
            <rFont val="Tahoma"/>
            <family val="2"/>
          </rPr>
          <t>Selected Switching Frequency</t>
        </r>
        <r>
          <rPr>
            <sz val="9"/>
            <color indexed="81"/>
            <rFont val="Tahoma"/>
            <family val="2"/>
          </rPr>
          <t>"</t>
        </r>
        <r>
          <rPr>
            <b/>
            <sz val="9"/>
            <color indexed="81"/>
            <rFont val="Tahoma"/>
            <family val="2"/>
          </rPr>
          <t xml:space="preserve"> </t>
        </r>
        <r>
          <rPr>
            <sz val="9"/>
            <color indexed="81"/>
            <rFont val="Tahoma"/>
            <family val="2"/>
          </rPr>
          <t xml:space="preserve">
</t>
        </r>
      </text>
    </comment>
    <comment ref="B25" authorId="0" shapeId="0">
      <text>
        <r>
          <rPr>
            <b/>
            <sz val="9"/>
            <color indexed="81"/>
            <rFont val="Tahoma"/>
            <family val="2"/>
          </rPr>
          <t xml:space="preserve">Total Number of Phases:
</t>
        </r>
        <r>
          <rPr>
            <sz val="9"/>
            <color indexed="81"/>
            <rFont val="Tahoma"/>
            <family val="2"/>
          </rPr>
          <t xml:space="preserve">
Input the total number of phases used during maximum current delivery.  
(More than two phases requires multiple LM5171's connected in parallel).
</t>
        </r>
      </text>
    </comment>
    <comment ref="B26" authorId="0" shapeId="0">
      <text>
        <r>
          <rPr>
            <b/>
            <sz val="9"/>
            <color indexed="81"/>
            <rFont val="Tahoma"/>
            <family val="2"/>
          </rPr>
          <t xml:space="preserve">Total Maximum LV-Port Current:
</t>
        </r>
        <r>
          <rPr>
            <sz val="9"/>
            <color indexed="81"/>
            <rFont val="Tahoma"/>
            <family val="2"/>
          </rPr>
          <t xml:space="preserve">
Enter the maximum LV-Port current (The maximum current of output current for buck mode and input current for boost mode).  
This value is used to calculate the following component values:
</t>
        </r>
        <r>
          <rPr>
            <b/>
            <sz val="9"/>
            <color indexed="81"/>
            <rFont val="Tahoma"/>
            <family val="2"/>
          </rPr>
          <t>Current sense resistor</t>
        </r>
        <r>
          <rPr>
            <sz val="9"/>
            <color indexed="81"/>
            <rFont val="Tahoma"/>
            <family val="2"/>
          </rPr>
          <t>: R</t>
        </r>
        <r>
          <rPr>
            <vertAlign val="subscript"/>
            <sz val="9"/>
            <color indexed="81"/>
            <rFont val="Tahoma"/>
            <family val="2"/>
          </rPr>
          <t>CS1/2</t>
        </r>
        <r>
          <rPr>
            <sz val="9"/>
            <color indexed="81"/>
            <rFont val="Tahoma"/>
            <family val="2"/>
          </rPr>
          <t xml:space="preserve"> 
</t>
        </r>
        <r>
          <rPr>
            <b/>
            <sz val="9"/>
            <color indexed="81"/>
            <rFont val="Tahoma"/>
            <family val="2"/>
          </rPr>
          <t>Power train inductor</t>
        </r>
        <r>
          <rPr>
            <sz val="9"/>
            <color indexed="81"/>
            <rFont val="Tahoma"/>
            <family val="2"/>
          </rPr>
          <t>: L</t>
        </r>
        <r>
          <rPr>
            <vertAlign val="subscript"/>
            <sz val="9"/>
            <color indexed="81"/>
            <rFont val="Tahoma"/>
            <family val="2"/>
          </rPr>
          <t>M1/2</t>
        </r>
      </text>
    </comment>
    <comment ref="B27" authorId="1" shapeId="0">
      <text>
        <r>
          <rPr>
            <b/>
            <sz val="9"/>
            <color indexed="81"/>
            <rFont val="Tahoma"/>
            <family val="2"/>
          </rPr>
          <t xml:space="preserve">Maximum Output Current in Boost Mode:
</t>
        </r>
        <r>
          <rPr>
            <sz val="9"/>
            <color indexed="81"/>
            <rFont val="Tahoma"/>
            <family val="2"/>
          </rPr>
          <t xml:space="preserve">
Enter the Maximum Output Current in Boost Mode.  
This value is used to calculate the load resistance in boost mode.</t>
        </r>
      </text>
    </comment>
    <comment ref="B28" authorId="0" shapeId="0">
      <text>
        <r>
          <rPr>
            <b/>
            <sz val="9"/>
            <color indexed="81"/>
            <rFont val="Tahoma"/>
            <family val="2"/>
          </rPr>
          <t xml:space="preserve">Calculated Current Sense Resistor:
</t>
        </r>
        <r>
          <rPr>
            <sz val="9"/>
            <color indexed="81"/>
            <rFont val="Tahoma"/>
            <family val="2"/>
          </rPr>
          <t>The current sense resistor value (</t>
        </r>
        <r>
          <rPr>
            <b/>
            <sz val="9"/>
            <color indexed="81"/>
            <rFont val="Tahoma"/>
            <family val="2"/>
          </rPr>
          <t>R</t>
        </r>
        <r>
          <rPr>
            <b/>
            <vertAlign val="subscript"/>
            <sz val="9"/>
            <color indexed="81"/>
            <rFont val="Tahoma"/>
            <family val="2"/>
          </rPr>
          <t>CS1/2</t>
        </r>
        <r>
          <rPr>
            <sz val="9"/>
            <color indexed="81"/>
            <rFont val="Tahoma"/>
            <family val="2"/>
          </rPr>
          <t>) is calculated to produce 50mV at the maximum phase current (  Total LV-Port Current / Total Number of Phases  ).</t>
        </r>
      </text>
    </comment>
    <comment ref="B29" authorId="0" shapeId="0">
      <text>
        <r>
          <rPr>
            <b/>
            <sz val="9"/>
            <color indexed="81"/>
            <rFont val="Tahoma"/>
            <family val="2"/>
          </rPr>
          <t xml:space="preserve">Selected (Chosen) Sense Resistor:
</t>
        </r>
        <r>
          <rPr>
            <sz val="9"/>
            <color indexed="81"/>
            <rFont val="Tahoma"/>
            <family val="2"/>
          </rPr>
          <t xml:space="preserve">Enter your chosen sense resistor in this cell.  Use the calculated sense resistor as a guideline.
</t>
        </r>
      </text>
    </comment>
    <comment ref="B30" authorId="0" shapeId="0">
      <text>
        <r>
          <rPr>
            <b/>
            <sz val="9"/>
            <color indexed="81"/>
            <rFont val="Tahoma"/>
            <family val="2"/>
          </rPr>
          <t xml:space="preserve">Maximum Average Inductor Current Per Channel:
</t>
        </r>
        <r>
          <rPr>
            <sz val="9"/>
            <color indexed="81"/>
            <rFont val="Tahoma"/>
            <family val="2"/>
          </rPr>
          <t xml:space="preserve">
This value is calculated based on </t>
        </r>
        <r>
          <rPr>
            <b/>
            <sz val="9"/>
            <color indexed="81"/>
            <rFont val="Tahoma"/>
            <family val="2"/>
          </rPr>
          <t>50mV</t>
        </r>
        <r>
          <rPr>
            <sz val="9"/>
            <color indexed="81"/>
            <rFont val="Tahoma"/>
            <family val="2"/>
          </rPr>
          <t xml:space="preserve"> across the Selected Sense Resistor</t>
        </r>
      </text>
    </comment>
    <comment ref="B31" authorId="0" shapeId="0">
      <text>
        <r>
          <rPr>
            <b/>
            <sz val="9"/>
            <color indexed="81"/>
            <rFont val="Tahoma"/>
            <family val="2"/>
          </rPr>
          <t xml:space="preserve">Maximum LV-Port Rail Current:
</t>
        </r>
        <r>
          <rPr>
            <sz val="9"/>
            <color indexed="81"/>
            <rFont val="Tahoma"/>
            <family val="2"/>
          </rPr>
          <t xml:space="preserve">
This is the maximum current at the LV-Port.</t>
        </r>
      </text>
    </comment>
    <comment ref="B36" authorId="0" shapeId="0">
      <text>
        <r>
          <rPr>
            <b/>
            <sz val="9"/>
            <color indexed="81"/>
            <rFont val="Tahoma"/>
            <family val="2"/>
          </rPr>
          <t xml:space="preserve">Selected Peak-to-Peak Ripple Ratio:
</t>
        </r>
        <r>
          <rPr>
            <sz val="9"/>
            <color indexed="81"/>
            <rFont val="Tahoma"/>
            <family val="2"/>
          </rPr>
          <t>This is the ratio of peak-to-peak inductor ripple current to the maximum average inductor current. Typically this value should be 80% or less.
Once the Ripple Ratio has been selected it will be used to calculate the inductor value</t>
        </r>
      </text>
    </comment>
    <comment ref="B37" authorId="0" shapeId="0">
      <text>
        <r>
          <rPr>
            <b/>
            <sz val="9"/>
            <color indexed="81"/>
            <rFont val="Tahoma"/>
            <family val="2"/>
          </rPr>
          <t xml:space="preserve">Calculated Inductor
</t>
        </r>
        <r>
          <rPr>
            <sz val="9"/>
            <color indexed="81"/>
            <rFont val="Tahoma"/>
            <family val="2"/>
          </rPr>
          <t>This is the suggested powertrain inductor value that is based on the peak-to-peak inductor current ripple ratio. Decreasing the ripple ratio will yield a larger inductance value</t>
        </r>
      </text>
    </comment>
    <comment ref="B38" authorId="0" shapeId="0">
      <text>
        <r>
          <rPr>
            <b/>
            <sz val="9"/>
            <color indexed="81"/>
            <rFont val="Tahoma"/>
            <family val="2"/>
          </rPr>
          <t>Selected Inductor</t>
        </r>
        <r>
          <rPr>
            <sz val="9"/>
            <color indexed="81"/>
            <rFont val="Tahoma"/>
            <family val="2"/>
          </rPr>
          <t xml:space="preserve">
This is the selected inductance value of L</t>
        </r>
        <r>
          <rPr>
            <vertAlign val="subscript"/>
            <sz val="9"/>
            <color indexed="81"/>
            <rFont val="Tahoma"/>
            <family val="2"/>
          </rPr>
          <t>M1</t>
        </r>
        <r>
          <rPr>
            <sz val="9"/>
            <color indexed="81"/>
            <rFont val="Tahoma"/>
            <family val="2"/>
          </rPr>
          <t xml:space="preserve"> and L</t>
        </r>
        <r>
          <rPr>
            <vertAlign val="subscript"/>
            <sz val="9"/>
            <color indexed="81"/>
            <rFont val="Tahoma"/>
            <family val="2"/>
          </rPr>
          <t xml:space="preserve">M2. </t>
        </r>
        <r>
          <rPr>
            <sz val="9"/>
            <color indexed="81"/>
            <rFont val="Tahoma"/>
            <family val="2"/>
          </rPr>
          <t>The calculated inductance value should be used as a guide line to select the inductance value.</t>
        </r>
      </text>
    </comment>
    <comment ref="B39" authorId="0" shapeId="0">
      <text>
        <r>
          <rPr>
            <b/>
            <sz val="9"/>
            <color indexed="81"/>
            <rFont val="Tahoma"/>
            <family val="2"/>
          </rPr>
          <t>Inductor DCR</t>
        </r>
        <r>
          <rPr>
            <sz val="9"/>
            <color indexed="81"/>
            <rFont val="Tahoma"/>
            <family val="2"/>
          </rPr>
          <t xml:space="preserve">
This is the DC resistance of the inductor. This can be found on the datasheet of the selected inductor. Higher values of DCR will cause the efficiency to drop relative to a inductor will smaller DCR</t>
        </r>
      </text>
    </comment>
    <comment ref="B40" authorId="0" shapeId="0">
      <text>
        <r>
          <rPr>
            <b/>
            <sz val="9"/>
            <color indexed="81"/>
            <rFont val="Tahoma"/>
            <family val="2"/>
          </rPr>
          <t xml:space="preserve">Maximum Inductor Peak Current
</t>
        </r>
        <r>
          <rPr>
            <sz val="9"/>
            <color indexed="81"/>
            <rFont val="Tahoma"/>
            <family val="2"/>
          </rPr>
          <t xml:space="preserve">
Worst case maximum peak current based on the selected inductance value, maximum LV port current specified and each phase in operation.</t>
        </r>
      </text>
    </comment>
    <comment ref="B45" authorId="0" shapeId="0">
      <text>
        <r>
          <rPr>
            <b/>
            <sz val="9"/>
            <color indexed="81"/>
            <rFont val="Tahoma"/>
            <family val="2"/>
          </rPr>
          <t>Current Limit Margin</t>
        </r>
        <r>
          <rPr>
            <sz val="9"/>
            <color indexed="81"/>
            <rFont val="Tahoma"/>
            <family val="2"/>
          </rPr>
          <t xml:space="preserve">
The margin above the calculated peak inductor current. Normally this value should be in the 5% to 15% range.</t>
        </r>
      </text>
    </comment>
    <comment ref="B46" authorId="0" shapeId="0">
      <text>
        <r>
          <rPr>
            <b/>
            <sz val="9"/>
            <color indexed="81"/>
            <rFont val="Tahoma"/>
            <family val="2"/>
          </rPr>
          <t xml:space="preserve">Inductor Peak Current Limit
</t>
        </r>
        <r>
          <rPr>
            <sz val="9"/>
            <color indexed="81"/>
            <rFont val="Tahoma"/>
            <family val="2"/>
          </rPr>
          <t>This is the peak inductor current based on the amount of margin specified. It is important to ensure that the selected inductor is rated for this amount of current. If not the margin of the peak limit should be decreased or an inductor with a larger current rating should be selected.</t>
        </r>
      </text>
    </comment>
    <comment ref="B47" authorId="2" shapeId="0">
      <text>
        <r>
          <rPr>
            <b/>
            <sz val="9"/>
            <color indexed="81"/>
            <rFont val="Tahoma"/>
            <family val="2"/>
          </rPr>
          <t>Selected Inductor Peak Current Limit</t>
        </r>
        <r>
          <rPr>
            <sz val="9"/>
            <color indexed="81"/>
            <rFont val="Tahoma"/>
            <family val="2"/>
          </rPr>
          <t xml:space="preserve">
Inductor saturation current must exceed this value
</t>
        </r>
      </text>
    </comment>
    <comment ref="B49" authorId="0" shapeId="0">
      <text>
        <r>
          <rPr>
            <b/>
            <sz val="9"/>
            <color indexed="81"/>
            <rFont val="Tahoma"/>
            <family val="2"/>
          </rPr>
          <t>Reference voltage for IPK</t>
        </r>
        <r>
          <rPr>
            <sz val="9"/>
            <color indexed="81"/>
            <rFont val="Tahoma"/>
            <family val="2"/>
          </rPr>
          <t xml:space="preserve">
You are suggested to use VREF (3.5V) for the voltage devider to set IPK voltage. You are suggested to draw ~0.1mA from VREF.
If VREF is not used, enter your reference voltage here.</t>
        </r>
      </text>
    </comment>
    <comment ref="B50" authorId="1" shapeId="0">
      <text>
        <r>
          <rPr>
            <b/>
            <sz val="9"/>
            <color indexed="81"/>
            <rFont val="Tahoma"/>
            <family val="2"/>
          </rPr>
          <t>Suggested IPK low side resistor</t>
        </r>
        <r>
          <rPr>
            <sz val="9"/>
            <color indexed="81"/>
            <rFont val="Tahoma"/>
            <family val="2"/>
          </rPr>
          <t xml:space="preserve">
This is calculated by assuming 0.1mA is drawn.</t>
        </r>
      </text>
    </comment>
    <comment ref="B52" authorId="1" shapeId="0">
      <text>
        <r>
          <rPr>
            <b/>
            <sz val="9"/>
            <color indexed="81"/>
            <rFont val="Tahoma"/>
            <family val="2"/>
          </rPr>
          <t xml:space="preserve">Suggested IPK high side resistor
</t>
        </r>
        <r>
          <rPr>
            <sz val="9"/>
            <color indexed="81"/>
            <rFont val="Tahoma"/>
            <family val="2"/>
          </rPr>
          <t xml:space="preserve">
This is calculated based on selected R</t>
        </r>
        <r>
          <rPr>
            <vertAlign val="subscript"/>
            <sz val="9"/>
            <color indexed="81"/>
            <rFont val="Tahoma"/>
            <family val="2"/>
          </rPr>
          <t>IPKB</t>
        </r>
      </text>
    </comment>
    <comment ref="B60" authorId="0" shapeId="0">
      <text>
        <r>
          <rPr>
            <b/>
            <sz val="9"/>
            <color indexed="81"/>
            <rFont val="Tahoma"/>
            <family val="2"/>
          </rPr>
          <t>LV Rail Output Capacitance</t>
        </r>
        <r>
          <rPr>
            <sz val="9"/>
            <color indexed="81"/>
            <rFont val="Tahoma"/>
            <family val="2"/>
          </rPr>
          <t xml:space="preserve">
This is the selected output capacitance of the LV rail. This value will have an impact when calculating the voltage loop compensation for Buck Mode Operation</t>
        </r>
      </text>
    </comment>
    <comment ref="B61" authorId="0" shapeId="0">
      <text>
        <r>
          <rPr>
            <b/>
            <sz val="9"/>
            <color indexed="81"/>
            <rFont val="Tahoma"/>
            <family val="2"/>
          </rPr>
          <t>LV Rail Output Capacitance ESR</t>
        </r>
        <r>
          <rPr>
            <sz val="9"/>
            <color indexed="81"/>
            <rFont val="Tahoma"/>
            <family val="2"/>
          </rPr>
          <t xml:space="preserve">
This is the resistance of the selected output capacitance for the LV rail. This value will have an impact when calculating the voltage loop compensation for Buck Mode Operation.</t>
        </r>
      </text>
    </comment>
    <comment ref="B63" authorId="0" shapeId="0">
      <text>
        <r>
          <rPr>
            <sz val="9"/>
            <color indexed="81"/>
            <rFont val="Tahoma"/>
            <family val="2"/>
          </rPr>
          <t>HV Rail Output Capacitance
This is the selected output capacitance of the HV rail. This value will have an impact when calculating the voltage loop compensation for Boost Mode Operation</t>
        </r>
      </text>
    </comment>
    <comment ref="B64" authorId="0" shapeId="0">
      <text>
        <r>
          <rPr>
            <b/>
            <sz val="9"/>
            <color indexed="81"/>
            <rFont val="Tahoma"/>
            <family val="2"/>
          </rPr>
          <t xml:space="preserve">HV Rail Output Capacitance ESR
</t>
        </r>
        <r>
          <rPr>
            <sz val="9"/>
            <color indexed="81"/>
            <rFont val="Tahoma"/>
            <family val="2"/>
          </rPr>
          <t xml:space="preserve">This is the resistance of the selected output capacitance for the HV rail. This value will have an impact when calculating the voltage loop compensation for Boost Mode Operation.
</t>
        </r>
      </text>
    </comment>
    <comment ref="B68" authorId="0" shapeId="0">
      <text>
        <r>
          <rPr>
            <b/>
            <sz val="9"/>
            <color indexed="81"/>
            <rFont val="Tahoma"/>
            <family val="2"/>
          </rPr>
          <t xml:space="preserve">Constant Voltage(CV) or Constant Current(CC) control Selection:
</t>
        </r>
        <r>
          <rPr>
            <sz val="9"/>
            <color indexed="81"/>
            <rFont val="Tahoma"/>
            <family val="2"/>
          </rPr>
          <t>Choose CV if the outer voltage loop is employed, the current loop is used as inner loop.
Choose CC if only current loop is used.</t>
        </r>
      </text>
    </comment>
    <comment ref="B70" authorId="0" shapeId="0">
      <text>
        <r>
          <rPr>
            <b/>
            <sz val="9"/>
            <color indexed="81"/>
            <rFont val="Tahoma"/>
            <family val="2"/>
          </rPr>
          <t>Selected Output Voltage Soft-Start Time</t>
        </r>
        <r>
          <rPr>
            <sz val="9"/>
            <color indexed="81"/>
            <rFont val="Tahoma"/>
            <family val="2"/>
          </rPr>
          <t xml:space="preserve">
This is the selected time that it will take to raise the output voltage to the steady state operating voltage. Increasing the value will result in a slower ramp to the  steady state operating voltage.</t>
        </r>
      </text>
    </comment>
    <comment ref="B71" authorId="0" shapeId="0">
      <text>
        <r>
          <rPr>
            <b/>
            <sz val="9"/>
            <color indexed="81"/>
            <rFont val="Tahoma"/>
            <family val="2"/>
          </rPr>
          <t xml:space="preserve">External Reference Voltage
</t>
        </r>
        <r>
          <rPr>
            <sz val="9"/>
            <color indexed="81"/>
            <rFont val="Tahoma"/>
            <family val="2"/>
          </rPr>
          <t xml:space="preserve">
This is the reference voltage for the voltage loop error amplifier non-inverting input.</t>
        </r>
      </text>
    </comment>
    <comment ref="B72" authorId="0" shapeId="0">
      <text>
        <r>
          <rPr>
            <b/>
            <sz val="9"/>
            <color indexed="81"/>
            <rFont val="Tahoma"/>
            <family val="2"/>
          </rPr>
          <t>Reference voltage for VSET</t>
        </r>
        <r>
          <rPr>
            <sz val="9"/>
            <color indexed="81"/>
            <rFont val="Tahoma"/>
            <family val="2"/>
          </rPr>
          <t xml:space="preserve">
A voltage devider is used to set VSET voltage from VREF (3.5V). You are suggested to draw ~0.1mA from VREF.
If VREF is not used, enter the reference voltage here.</t>
        </r>
      </text>
    </comment>
    <comment ref="B73" authorId="1" shapeId="0">
      <text>
        <r>
          <rPr>
            <b/>
            <sz val="9"/>
            <color indexed="81"/>
            <rFont val="Tahoma"/>
            <family val="2"/>
          </rPr>
          <t>Low-Side Resistor for VSET</t>
        </r>
        <r>
          <rPr>
            <sz val="9"/>
            <color indexed="81"/>
            <rFont val="Tahoma"/>
            <family val="2"/>
          </rPr>
          <t xml:space="preserve">
This is calculated by assuming 0.1mA is drawn.</t>
        </r>
      </text>
    </comment>
    <comment ref="B75" authorId="1" shapeId="0">
      <text>
        <r>
          <rPr>
            <b/>
            <sz val="9"/>
            <color indexed="81"/>
            <rFont val="Tahoma"/>
            <family val="2"/>
          </rPr>
          <t>High-Side Resistor for VSET</t>
        </r>
        <r>
          <rPr>
            <sz val="9"/>
            <color indexed="81"/>
            <rFont val="Tahoma"/>
            <family val="2"/>
          </rPr>
          <t xml:space="preserve">
This is calculated based on selected R</t>
        </r>
        <r>
          <rPr>
            <vertAlign val="subscript"/>
            <sz val="9"/>
            <color indexed="81"/>
            <rFont val="Tahoma"/>
            <family val="2"/>
          </rPr>
          <t>VSETB</t>
        </r>
      </text>
    </comment>
    <comment ref="B78" authorId="1" shapeId="0">
      <text>
        <r>
          <rPr>
            <b/>
            <sz val="9"/>
            <color indexed="81"/>
            <rFont val="Tahoma"/>
            <family val="2"/>
          </rPr>
          <t>Voltage softstart capacitor for VSET</t>
        </r>
        <r>
          <rPr>
            <sz val="9"/>
            <color indexed="81"/>
            <rFont val="Tahoma"/>
            <family val="2"/>
          </rPr>
          <t xml:space="preserve">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xml:space="preserve"> and C</t>
        </r>
        <r>
          <rPr>
            <vertAlign val="subscript"/>
            <sz val="9"/>
            <color indexed="81"/>
            <rFont val="Tahoma"/>
            <family val="2"/>
          </rPr>
          <t>VSET</t>
        </r>
        <r>
          <rPr>
            <sz val="9"/>
            <color indexed="81"/>
            <rFont val="Tahoma"/>
            <family val="2"/>
          </rPr>
          <t xml:space="preserve"> determines the output voltage soft-start time.
2*RC is used as soft-start time here.</t>
        </r>
      </text>
    </comment>
    <comment ref="B80" authorId="0" shapeId="0">
      <text>
        <r>
          <rPr>
            <b/>
            <sz val="9"/>
            <color indexed="81"/>
            <rFont val="Tahoma"/>
            <family val="2"/>
          </rPr>
          <t xml:space="preserve">Actual Soft-Start Time
</t>
        </r>
        <r>
          <rPr>
            <sz val="9"/>
            <color indexed="81"/>
            <rFont val="Tahoma"/>
            <family val="2"/>
          </rPr>
          <t xml:space="preserve">
This is the output voltage soft-start time based on the selected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C</t>
        </r>
        <r>
          <rPr>
            <vertAlign val="subscript"/>
            <sz val="9"/>
            <color indexed="81"/>
            <rFont val="Tahoma"/>
            <family val="2"/>
          </rPr>
          <t>VSET</t>
        </r>
        <r>
          <rPr>
            <sz val="9"/>
            <color indexed="81"/>
            <rFont val="Tahoma"/>
            <family val="2"/>
          </rPr>
          <t xml:space="preserve"> value.</t>
        </r>
      </text>
    </comment>
    <comment ref="B82" authorId="0" shapeId="0">
      <text>
        <r>
          <rPr>
            <b/>
            <sz val="9"/>
            <color indexed="81"/>
            <rFont val="Tahoma"/>
            <family val="2"/>
          </rPr>
          <t>Selected Soft-Start Time</t>
        </r>
        <r>
          <rPr>
            <sz val="9"/>
            <color indexed="81"/>
            <rFont val="Tahoma"/>
            <family val="2"/>
          </rPr>
          <t xml:space="preserve">
This is the selected time that it will take the SS pin to charge to the threshold voltage. Increasing the value will result in a slower ramp to full load current.</t>
        </r>
      </text>
    </comment>
    <comment ref="B83" authorId="0" shapeId="0">
      <text>
        <r>
          <rPr>
            <b/>
            <sz val="9"/>
            <color indexed="81"/>
            <rFont val="Tahoma"/>
            <family val="2"/>
          </rPr>
          <t>Selected Soft-Start Capacitor C</t>
        </r>
        <r>
          <rPr>
            <b/>
            <vertAlign val="subscript"/>
            <sz val="9"/>
            <color indexed="81"/>
            <rFont val="Tahoma"/>
            <family val="2"/>
          </rPr>
          <t>SS</t>
        </r>
        <r>
          <rPr>
            <sz val="9"/>
            <color indexed="81"/>
            <rFont val="Tahoma"/>
            <family val="2"/>
          </rPr>
          <t xml:space="preserve">
This is the calculated soft-start capacitor that will result in the soft-start time specified in the selected soft-start time cell. 
 If outer voltage loop is employed, current soft start should be minimized. Select 100pF for for C</t>
        </r>
        <r>
          <rPr>
            <vertAlign val="subscript"/>
            <sz val="9"/>
            <color indexed="81"/>
            <rFont val="Tahoma"/>
            <family val="2"/>
          </rPr>
          <t>ss</t>
        </r>
        <r>
          <rPr>
            <sz val="9"/>
            <color indexed="81"/>
            <rFont val="Tahoma"/>
            <family val="2"/>
          </rPr>
          <t>.</t>
        </r>
      </text>
    </comment>
    <comment ref="B84" authorId="0" shapeId="0">
      <text>
        <r>
          <rPr>
            <b/>
            <sz val="9"/>
            <color indexed="81"/>
            <rFont val="Tahoma"/>
            <family val="2"/>
          </rPr>
          <t>Selected C</t>
        </r>
        <r>
          <rPr>
            <b/>
            <vertAlign val="subscript"/>
            <sz val="9"/>
            <color indexed="81"/>
            <rFont val="Tahoma"/>
            <family val="2"/>
          </rPr>
          <t>SS</t>
        </r>
        <r>
          <rPr>
            <b/>
            <sz val="9"/>
            <color indexed="81"/>
            <rFont val="Tahoma"/>
            <family val="2"/>
          </rPr>
          <t xml:space="preserve"> Capacitance
</t>
        </r>
        <r>
          <rPr>
            <sz val="9"/>
            <color indexed="81"/>
            <rFont val="Tahoma"/>
            <family val="2"/>
          </rPr>
          <t>This is the selected current soft-start capacitance. This value should be based on the calculated C</t>
        </r>
        <r>
          <rPr>
            <vertAlign val="subscript"/>
            <sz val="9"/>
            <color indexed="81"/>
            <rFont val="Tahoma"/>
            <family val="2"/>
          </rPr>
          <t xml:space="preserve">SS </t>
        </r>
        <r>
          <rPr>
            <sz val="9"/>
            <color indexed="81"/>
            <rFont val="Tahoma"/>
            <family val="2"/>
          </rPr>
          <t>cell value.</t>
        </r>
      </text>
    </comment>
    <comment ref="B85" authorId="0" shapeId="0">
      <text>
        <r>
          <rPr>
            <b/>
            <sz val="9"/>
            <color indexed="81"/>
            <rFont val="Tahoma"/>
            <family val="2"/>
          </rPr>
          <t xml:space="preserve">Actual Soft-Start Time
</t>
        </r>
        <r>
          <rPr>
            <sz val="9"/>
            <color indexed="81"/>
            <rFont val="Tahoma"/>
            <family val="2"/>
          </rPr>
          <t xml:space="preserve">
This is the current soft-start time of the converter based on the value of the selected C</t>
        </r>
        <r>
          <rPr>
            <vertAlign val="subscript"/>
            <sz val="9"/>
            <color indexed="81"/>
            <rFont val="Tahoma"/>
            <family val="2"/>
          </rPr>
          <t>SS</t>
        </r>
        <r>
          <rPr>
            <sz val="9"/>
            <color indexed="81"/>
            <rFont val="Tahoma"/>
            <family val="2"/>
          </rPr>
          <t xml:space="preserve"> value.</t>
        </r>
      </text>
    </comment>
    <comment ref="B90" authorId="0" shapeId="0">
      <text>
        <r>
          <rPr>
            <b/>
            <sz val="9"/>
            <color indexed="81"/>
            <rFont val="Tahoma"/>
            <family val="2"/>
          </rPr>
          <t xml:space="preserve">ULVO Control Type Selection:
</t>
        </r>
        <r>
          <rPr>
            <sz val="9"/>
            <color indexed="81"/>
            <rFont val="Tahoma"/>
            <family val="2"/>
          </rPr>
          <t xml:space="preserve">The UVLO signal can be configured in a number of ways. Below are two common configurations
1. </t>
        </r>
        <r>
          <rPr>
            <u/>
            <sz val="9"/>
            <color indexed="81"/>
            <rFont val="Tahoma"/>
            <family val="2"/>
          </rPr>
          <t>UVLO signal controlled by microcontroller (</t>
        </r>
        <r>
          <rPr>
            <u/>
            <sz val="9"/>
            <color indexed="81"/>
            <rFont val="Calibri"/>
            <family val="2"/>
          </rPr>
          <t>μ</t>
        </r>
        <r>
          <rPr>
            <u/>
            <sz val="9"/>
            <color indexed="81"/>
            <rFont val="Tahoma"/>
            <family val="2"/>
          </rPr>
          <t>C)</t>
        </r>
        <r>
          <rPr>
            <sz val="9"/>
            <color indexed="81"/>
            <rFont val="Tahoma"/>
            <family val="2"/>
          </rPr>
          <t xml:space="preserve">
In this configuration the UVLO signal is used as a main enable for the device. To ensure that LM5171 will respond correctly, the logic level high voltage should be greater than 2.5V. If the cells below are shaded grey, it indicate that the calculations are not needed.
2.</t>
        </r>
        <r>
          <rPr>
            <u/>
            <sz val="9"/>
            <color indexed="81"/>
            <rFont val="Tahoma"/>
            <family val="2"/>
          </rPr>
          <t xml:space="preserve"> UVLO Resistor Divider (Resistor Divider)</t>
        </r>
        <r>
          <rPr>
            <sz val="9"/>
            <color indexed="81"/>
            <rFont val="Tahoma"/>
            <family val="2"/>
          </rPr>
          <t xml:space="preserve">
In this configuration a Resistor divider is used to set enable or disable LM5170. When the UVLO pin is above 2.5V the LM5171 will be in power delivery mode. If the voltage on the UVLO pin is between 1.25V and 2.5V the LM5170 will be in standby mode. If the UVLO pin voltage is below 1.25V, LM5171 will be in shutdown mode and will draw a small amount of power.</t>
        </r>
      </text>
    </comment>
    <comment ref="B91" authorId="0" shapeId="0">
      <text>
        <r>
          <rPr>
            <b/>
            <sz val="9"/>
            <color indexed="81"/>
            <rFont val="Tahoma"/>
            <family val="2"/>
          </rPr>
          <t xml:space="preserve">UVLO Release Voltage
</t>
        </r>
        <r>
          <rPr>
            <sz val="9"/>
            <color indexed="81"/>
            <rFont val="Tahoma"/>
            <family val="2"/>
          </rPr>
          <t>This is the input voltage at which the LM5171 will start delivering current. This voltage rail is typically from the HV-PORT, LV-PORT of the VCC rail.</t>
        </r>
      </text>
    </comment>
    <comment ref="B92" authorId="0" shapeId="0">
      <text>
        <r>
          <rPr>
            <b/>
            <sz val="9"/>
            <color indexed="81"/>
            <rFont val="Tahoma"/>
            <family val="2"/>
          </rPr>
          <t>Selected R</t>
        </r>
        <r>
          <rPr>
            <b/>
            <vertAlign val="subscript"/>
            <sz val="9"/>
            <color indexed="81"/>
            <rFont val="Tahoma"/>
            <family val="2"/>
          </rPr>
          <t xml:space="preserve">UVLO2
</t>
        </r>
        <r>
          <rPr>
            <sz val="9"/>
            <color indexed="81"/>
            <rFont val="Tahoma"/>
            <family val="2"/>
          </rPr>
          <t xml:space="preserve">This is the selected bottom resistor of the UVLO resistor divider. The larger this value the less current will flow in the divider making the UVLO signal more susceptible to noise. </t>
        </r>
      </text>
    </comment>
    <comment ref="B93" authorId="0" shapeId="0">
      <text>
        <r>
          <rPr>
            <b/>
            <sz val="9"/>
            <color indexed="81"/>
            <rFont val="Tahoma"/>
            <family val="2"/>
          </rPr>
          <t>Calculated R</t>
        </r>
        <r>
          <rPr>
            <b/>
            <vertAlign val="subscript"/>
            <sz val="9"/>
            <color indexed="81"/>
            <rFont val="Tahoma"/>
            <family val="2"/>
          </rPr>
          <t xml:space="preserve">UVLO1
</t>
        </r>
        <r>
          <rPr>
            <sz val="9"/>
            <color indexed="81"/>
            <rFont val="Tahoma"/>
            <family val="2"/>
          </rPr>
          <t>This is the calculated top resistor of the UVLO resistor divider based on the datasheet equation</t>
        </r>
      </text>
    </comment>
    <comment ref="B94" authorId="0" shapeId="0">
      <text>
        <r>
          <rPr>
            <b/>
            <sz val="9"/>
            <color indexed="81"/>
            <rFont val="Tahoma"/>
            <family val="2"/>
          </rPr>
          <t>Selected R</t>
        </r>
        <r>
          <rPr>
            <b/>
            <vertAlign val="subscript"/>
            <sz val="9"/>
            <color indexed="81"/>
            <rFont val="Tahoma"/>
            <family val="2"/>
          </rPr>
          <t>UVLO1</t>
        </r>
        <r>
          <rPr>
            <b/>
            <sz val="9"/>
            <color indexed="81"/>
            <rFont val="Tahoma"/>
            <family val="2"/>
          </rPr>
          <t xml:space="preserve">
</t>
        </r>
        <r>
          <rPr>
            <sz val="9"/>
            <color indexed="81"/>
            <rFont val="Tahoma"/>
            <family val="2"/>
          </rPr>
          <t xml:space="preserve">
This is the selected value of R</t>
        </r>
        <r>
          <rPr>
            <vertAlign val="subscript"/>
            <sz val="9"/>
            <color indexed="81"/>
            <rFont val="Tahoma"/>
            <family val="2"/>
          </rPr>
          <t>UVLO1</t>
        </r>
        <r>
          <rPr>
            <sz val="9"/>
            <color indexed="81"/>
            <rFont val="Tahoma"/>
            <family val="2"/>
          </rPr>
          <t xml:space="preserve">. The selected value should be based on the calculated value above
</t>
        </r>
      </text>
    </comment>
    <comment ref="B95" authorId="0" shapeId="0">
      <text>
        <r>
          <rPr>
            <b/>
            <sz val="9"/>
            <color indexed="81"/>
            <rFont val="Tahoma"/>
            <family val="2"/>
          </rPr>
          <t xml:space="preserve">UVLO Hysteresis
</t>
        </r>
        <r>
          <rPr>
            <sz val="9"/>
            <color indexed="81"/>
            <rFont val="Tahoma"/>
            <family val="2"/>
          </rPr>
          <t>If a different amount of hysteresis is needed on the UVLO signal a resistor (R</t>
        </r>
        <r>
          <rPr>
            <vertAlign val="subscript"/>
            <sz val="9"/>
            <color indexed="81"/>
            <rFont val="Tahoma"/>
            <family val="2"/>
          </rPr>
          <t>UVLO3</t>
        </r>
        <r>
          <rPr>
            <sz val="9"/>
            <color indexed="81"/>
            <rFont val="Tahoma"/>
            <family val="2"/>
          </rPr>
          <t xml:space="preserve">) maybe added to adjust this accordingly. The two following options will help to calculate the correct UVLO resistor values.
</t>
        </r>
        <r>
          <rPr>
            <u/>
            <sz val="9"/>
            <color indexed="81"/>
            <rFont val="Tahoma"/>
            <family val="2"/>
          </rPr>
          <t xml:space="preserve">1. Additional </t>
        </r>
        <r>
          <rPr>
            <sz val="9"/>
            <color indexed="81"/>
            <rFont val="Tahoma"/>
            <family val="2"/>
          </rPr>
          <t xml:space="preserve">
This allows for a greater level of hysteresis to be implemented for the UVLO signal. Selecting this option will calculated the needed value for R</t>
        </r>
        <r>
          <rPr>
            <vertAlign val="subscript"/>
            <sz val="9"/>
            <color indexed="81"/>
            <rFont val="Tahoma"/>
            <family val="2"/>
          </rPr>
          <t>UVLO3</t>
        </r>
        <r>
          <rPr>
            <sz val="9"/>
            <color indexed="81"/>
            <rFont val="Tahoma"/>
            <family val="2"/>
          </rPr>
          <t xml:space="preserve"> 
</t>
        </r>
        <r>
          <rPr>
            <u/>
            <sz val="9"/>
            <color indexed="81"/>
            <rFont val="Tahoma"/>
            <family val="2"/>
          </rPr>
          <t>2. Normal</t>
        </r>
        <r>
          <rPr>
            <sz val="9"/>
            <color indexed="81"/>
            <rFont val="Tahoma"/>
            <family val="2"/>
          </rPr>
          <t xml:space="preserve">
This is the most common use case for the UVLO signal. The hysteresis will be set by the 25uA internal current source and the R</t>
        </r>
        <r>
          <rPr>
            <vertAlign val="subscript"/>
            <sz val="9"/>
            <color indexed="81"/>
            <rFont val="Tahoma"/>
            <family val="2"/>
          </rPr>
          <t>UVLO1</t>
        </r>
        <r>
          <rPr>
            <sz val="9"/>
            <color indexed="81"/>
            <rFont val="Tahoma"/>
            <family val="2"/>
          </rPr>
          <t xml:space="preserve"> resistor</t>
        </r>
      </text>
    </comment>
    <comment ref="B96" authorId="0" shapeId="0">
      <text>
        <r>
          <rPr>
            <b/>
            <sz val="9"/>
            <color indexed="81"/>
            <rFont val="Tahoma"/>
            <family val="2"/>
          </rPr>
          <t>Selected Amount of Hysteresis</t>
        </r>
        <r>
          <rPr>
            <sz val="9"/>
            <color indexed="81"/>
            <rFont val="Tahoma"/>
            <family val="2"/>
          </rPr>
          <t xml:space="preserve">
The amount of hysteresis that RUVLO3 will be calculated to provide. If the "Normal" option on the "UVLO Hysteresis Type" box is selected this box is void.</t>
        </r>
      </text>
    </comment>
    <comment ref="B97" authorId="0" shapeId="0">
      <text>
        <r>
          <rPr>
            <b/>
            <sz val="9"/>
            <color indexed="81"/>
            <rFont val="Tahoma"/>
            <family val="2"/>
          </rPr>
          <t>Calculated R</t>
        </r>
        <r>
          <rPr>
            <b/>
            <vertAlign val="subscript"/>
            <sz val="9"/>
            <color indexed="81"/>
            <rFont val="Tahoma"/>
            <family val="2"/>
          </rPr>
          <t>UVLO3</t>
        </r>
        <r>
          <rPr>
            <b/>
            <sz val="9"/>
            <color indexed="81"/>
            <rFont val="Tahoma"/>
            <family val="2"/>
          </rPr>
          <t xml:space="preserve"> Value</t>
        </r>
        <r>
          <rPr>
            <sz val="9"/>
            <color indexed="81"/>
            <rFont val="Tahoma"/>
            <family val="2"/>
          </rPr>
          <t xml:space="preserve">
The calculated value based on amount of selected UVLO hysteresis. The calculated value is based on the datasheet equation. If the "Normal" option on the "UVLO Hysteresis Type" box is selected this box is void.</t>
        </r>
      </text>
    </comment>
    <comment ref="B98" authorId="0" shapeId="0">
      <text>
        <r>
          <rPr>
            <b/>
            <sz val="9"/>
            <color indexed="81"/>
            <rFont val="Tahoma"/>
            <family val="2"/>
          </rPr>
          <t>Selected R</t>
        </r>
        <r>
          <rPr>
            <b/>
            <vertAlign val="subscript"/>
            <sz val="9"/>
            <color indexed="81"/>
            <rFont val="Tahoma"/>
            <family val="2"/>
          </rPr>
          <t>UVLO3</t>
        </r>
        <r>
          <rPr>
            <b/>
            <sz val="9"/>
            <color indexed="81"/>
            <rFont val="Tahoma"/>
            <family val="2"/>
          </rPr>
          <t xml:space="preserve"> Value
</t>
        </r>
        <r>
          <rPr>
            <sz val="9"/>
            <color indexed="81"/>
            <rFont val="Tahoma"/>
            <family val="2"/>
          </rPr>
          <t>The selected value should be based on the calculated value above. If the "Normal" option on the "UVLO Hysteresis Type" box is selected this box is void.</t>
        </r>
      </text>
    </comment>
    <comment ref="B99" authorId="0" shapeId="0">
      <text>
        <r>
          <rPr>
            <b/>
            <sz val="9"/>
            <color indexed="81"/>
            <rFont val="Tahoma"/>
            <family val="2"/>
          </rPr>
          <t xml:space="preserve">UVLO Hysteresis
</t>
        </r>
        <r>
          <rPr>
            <sz val="9"/>
            <color indexed="81"/>
            <rFont val="Tahoma"/>
            <family val="2"/>
          </rPr>
          <t xml:space="preserve">
This is the amount of hysteresis that will be on the UVLO signal. This value is dependent on the selection of the "UVLO Hysteresis Type" cell.
</t>
        </r>
      </text>
    </comment>
    <comment ref="B100" authorId="0" shapeId="0">
      <text>
        <r>
          <rPr>
            <b/>
            <sz val="9"/>
            <color indexed="81"/>
            <rFont val="Tahoma"/>
            <family val="2"/>
          </rPr>
          <t xml:space="preserve">UVLO Release Rising Edge
</t>
        </r>
        <r>
          <rPr>
            <sz val="9"/>
            <color indexed="81"/>
            <rFont val="Tahoma"/>
            <family val="2"/>
          </rPr>
          <t>This is the UVLO input rail voltage at which the Undervoltage event is cleared. If the input rail voltage is greater than this value the LM5171 is able to deliver current.</t>
        </r>
      </text>
    </comment>
    <comment ref="B101" authorId="0" shapeId="0">
      <text>
        <r>
          <rPr>
            <b/>
            <sz val="9"/>
            <color indexed="81"/>
            <rFont val="Tahoma"/>
            <family val="2"/>
          </rPr>
          <t xml:space="preserve">UVLO Latch Falling Edge
</t>
        </r>
        <r>
          <rPr>
            <sz val="9"/>
            <color indexed="81"/>
            <rFont val="Tahoma"/>
            <family val="2"/>
          </rPr>
          <t xml:space="preserve">
This is the UVLO input rail voltage at which an Undervoltage event occurs. If the input rail voltage is less than this value the LM5171 is in standby mode.</t>
        </r>
      </text>
    </comment>
    <comment ref="B102" authorId="0" shapeId="0">
      <text>
        <r>
          <rPr>
            <b/>
            <sz val="9"/>
            <color indexed="81"/>
            <rFont val="Tahoma"/>
            <family val="2"/>
          </rPr>
          <t xml:space="preserve">UVLO Shutdown Voltage
</t>
        </r>
        <r>
          <rPr>
            <sz val="9"/>
            <color indexed="81"/>
            <rFont val="Tahoma"/>
            <family val="2"/>
          </rPr>
          <t>This is the UVLO input rail voltage at which the LM5171 will enter shutdown mode.</t>
        </r>
        <r>
          <rPr>
            <b/>
            <sz val="9"/>
            <color indexed="81"/>
            <rFont val="Tahoma"/>
            <family val="2"/>
          </rPr>
          <t xml:space="preserve"> </t>
        </r>
      </text>
    </comment>
    <comment ref="B107" authorId="0" shapeId="0">
      <text>
        <r>
          <rPr>
            <b/>
            <sz val="9"/>
            <color indexed="81"/>
            <rFont val="Tahoma"/>
            <family val="2"/>
          </rPr>
          <t xml:space="preserve">Overvoltage Level
</t>
        </r>
        <r>
          <rPr>
            <sz val="9"/>
            <color indexed="81"/>
            <rFont val="Tahoma"/>
            <family val="2"/>
          </rPr>
          <t xml:space="preserve">
This is the desired overvoltage level.</t>
        </r>
      </text>
    </comment>
    <comment ref="B108" authorId="0" shapeId="0">
      <text>
        <r>
          <rPr>
            <b/>
            <sz val="9"/>
            <color indexed="81"/>
            <rFont val="Tahoma"/>
            <family val="2"/>
          </rPr>
          <t>Suggested Resistor for R</t>
        </r>
        <r>
          <rPr>
            <b/>
            <vertAlign val="subscript"/>
            <sz val="9"/>
            <color indexed="81"/>
            <rFont val="Tahoma"/>
            <family val="2"/>
          </rPr>
          <t>OPVB</t>
        </r>
        <r>
          <rPr>
            <sz val="9"/>
            <color indexed="81"/>
            <rFont val="Tahoma"/>
            <family val="2"/>
          </rPr>
          <t xml:space="preserve">
This is calculated by assuming 1mA is drawn.
0.1~1mA is a good starting point for selecting OVP resistors.</t>
        </r>
      </text>
    </comment>
    <comment ref="B110" authorId="0" shapeId="0">
      <text>
        <r>
          <rPr>
            <b/>
            <sz val="9"/>
            <color indexed="81"/>
            <rFont val="Tahoma"/>
            <family val="2"/>
          </rPr>
          <t>Suggested R</t>
        </r>
        <r>
          <rPr>
            <b/>
            <vertAlign val="subscript"/>
            <sz val="9"/>
            <color indexed="81"/>
            <rFont val="Tahoma"/>
            <family val="2"/>
          </rPr>
          <t>OVPT</t>
        </r>
        <r>
          <rPr>
            <sz val="9"/>
            <color indexed="81"/>
            <rFont val="Tahoma"/>
            <family val="2"/>
          </rPr>
          <t xml:space="preserve">
This is calculated based on selected R</t>
        </r>
        <r>
          <rPr>
            <vertAlign val="subscript"/>
            <sz val="9"/>
            <color indexed="81"/>
            <rFont val="Tahoma"/>
            <family val="2"/>
          </rPr>
          <t>OVPB</t>
        </r>
      </text>
    </comment>
    <comment ref="B118" authorId="0" shapeId="0">
      <text>
        <r>
          <rPr>
            <b/>
            <sz val="9"/>
            <color indexed="81"/>
            <rFont val="Tahoma"/>
            <family val="2"/>
          </rPr>
          <t>IMON Voltage at VCS = 50mV</t>
        </r>
        <r>
          <rPr>
            <sz val="9"/>
            <color indexed="81"/>
            <rFont val="Tahoma"/>
            <family val="2"/>
          </rPr>
          <t xml:space="preserve">
The maximum voltage that the IMONx pin will see at full load current. This is assuming that each channel (IMON1, IMON2,…) has an output that is not tied together. It is recommended to keep the IMONx pin </t>
        </r>
        <r>
          <rPr>
            <u/>
            <sz val="9"/>
            <color indexed="81"/>
            <rFont val="Tahoma"/>
            <family val="2"/>
          </rPr>
          <t xml:space="preserve">voltage below 3V </t>
        </r>
        <r>
          <rPr>
            <sz val="9"/>
            <color indexed="81"/>
            <rFont val="Tahoma"/>
            <family val="2"/>
          </rPr>
          <t>for accurate current measurements.</t>
        </r>
      </text>
    </comment>
    <comment ref="B119" authorId="0" shapeId="0">
      <text>
        <r>
          <rPr>
            <b/>
            <sz val="9"/>
            <color indexed="81"/>
            <rFont val="Tahoma"/>
            <family val="2"/>
          </rPr>
          <t>Calculated R</t>
        </r>
        <r>
          <rPr>
            <b/>
            <vertAlign val="subscript"/>
            <sz val="9"/>
            <color indexed="81"/>
            <rFont val="Tahoma"/>
            <family val="2"/>
          </rPr>
          <t xml:space="preserve">IOUT </t>
        </r>
        <r>
          <rPr>
            <b/>
            <sz val="9"/>
            <color indexed="81"/>
            <rFont val="Tahoma"/>
            <family val="2"/>
          </rPr>
          <t>Values</t>
        </r>
        <r>
          <rPr>
            <sz val="9"/>
            <color indexed="81"/>
            <rFont val="Tahoma"/>
            <family val="2"/>
          </rPr>
          <t xml:space="preserve">
These values are assuming that no IMON signal is tied together. The calculated value of the resistor will give the specified maximum V</t>
        </r>
        <r>
          <rPr>
            <vertAlign val="subscript"/>
            <sz val="9"/>
            <color indexed="81"/>
            <rFont val="Tahoma"/>
            <family val="2"/>
          </rPr>
          <t>IMON</t>
        </r>
        <r>
          <rPr>
            <sz val="9"/>
            <color indexed="81"/>
            <rFont val="Tahoma"/>
            <family val="2"/>
          </rPr>
          <t xml:space="preserve"> based on the datasheet equation.</t>
        </r>
      </text>
    </comment>
    <comment ref="B120" authorId="0" shapeId="0">
      <text>
        <r>
          <rPr>
            <b/>
            <sz val="9"/>
            <color indexed="81"/>
            <rFont val="Tahoma"/>
            <family val="2"/>
          </rPr>
          <t>Selected RIOUT Value</t>
        </r>
        <r>
          <rPr>
            <sz val="9"/>
            <color indexed="81"/>
            <rFont val="Tahoma"/>
            <family val="2"/>
          </rPr>
          <t xml:space="preserve">
The selected value should be based on the calculated value for the RIOUT resistors</t>
        </r>
      </text>
    </comment>
    <comment ref="B121" authorId="0" shapeId="0">
      <text>
        <r>
          <rPr>
            <b/>
            <sz val="9"/>
            <color indexed="81"/>
            <rFont val="Tahoma"/>
            <family val="2"/>
          </rPr>
          <t>V</t>
        </r>
        <r>
          <rPr>
            <b/>
            <vertAlign val="subscript"/>
            <sz val="9"/>
            <color indexed="81"/>
            <rFont val="Tahoma"/>
            <family val="2"/>
          </rPr>
          <t>IOUT</t>
        </r>
        <r>
          <rPr>
            <b/>
            <sz val="9"/>
            <color indexed="81"/>
            <rFont val="Tahoma"/>
            <family val="2"/>
          </rPr>
          <t xml:space="preserve"> at full load</t>
        </r>
        <r>
          <rPr>
            <sz val="9"/>
            <color indexed="81"/>
            <rFont val="Tahoma"/>
            <family val="2"/>
          </rPr>
          <t xml:space="preserve">
This is the maximum value on the IMON pins based on the resistor selection made.</t>
        </r>
      </text>
    </comment>
    <comment ref="B122" authorId="0" shapeId="0">
      <text>
        <r>
          <rPr>
            <b/>
            <sz val="9"/>
            <color indexed="81"/>
            <rFont val="Tahoma"/>
            <family val="2"/>
          </rPr>
          <t>V</t>
        </r>
        <r>
          <rPr>
            <b/>
            <vertAlign val="subscript"/>
            <sz val="9"/>
            <color indexed="81"/>
            <rFont val="Tahoma"/>
            <family val="2"/>
          </rPr>
          <t>IOUT</t>
        </r>
        <r>
          <rPr>
            <b/>
            <sz val="9"/>
            <color indexed="81"/>
            <rFont val="Tahoma"/>
            <family val="2"/>
          </rPr>
          <t xml:space="preserve"> at no load
</t>
        </r>
        <r>
          <rPr>
            <sz val="9"/>
            <color indexed="81"/>
            <rFont val="Tahoma"/>
            <family val="2"/>
          </rPr>
          <t>This is the voltage on the IOUT pins at no load based on the resistor selection made. This is due to the 50uA offset current on the IMON pins</t>
        </r>
        <r>
          <rPr>
            <b/>
            <sz val="9"/>
            <color indexed="81"/>
            <rFont val="Tahoma"/>
            <family val="2"/>
          </rPr>
          <t>.</t>
        </r>
        <r>
          <rPr>
            <sz val="9"/>
            <color indexed="81"/>
            <rFont val="Tahoma"/>
            <family val="2"/>
          </rPr>
          <t xml:space="preserve">
</t>
        </r>
      </text>
    </comment>
    <comment ref="B123" authorId="0" shapeId="0">
      <text>
        <r>
          <rPr>
            <b/>
            <sz val="9"/>
            <color indexed="81"/>
            <rFont val="Tahoma"/>
            <family val="2"/>
          </rPr>
          <t>Calculated C</t>
        </r>
        <r>
          <rPr>
            <b/>
            <vertAlign val="subscript"/>
            <sz val="9"/>
            <color indexed="81"/>
            <rFont val="Tahoma"/>
            <family val="2"/>
          </rPr>
          <t>IMON</t>
        </r>
        <r>
          <rPr>
            <b/>
            <sz val="9"/>
            <color indexed="81"/>
            <rFont val="Tahoma"/>
            <family val="2"/>
          </rPr>
          <t xml:space="preserve">
</t>
        </r>
        <r>
          <rPr>
            <sz val="9"/>
            <color indexed="81"/>
            <rFont val="Tahoma"/>
            <family val="2"/>
          </rPr>
          <t xml:space="preserve">This is the capacitor that will filter out any noise on the IOUT pins. This value was calculated based on the recommendations of the datasheet.
</t>
        </r>
      </text>
    </comment>
    <comment ref="B124" authorId="0" shapeId="0">
      <text>
        <r>
          <rPr>
            <b/>
            <sz val="9"/>
            <color indexed="81"/>
            <rFont val="Tahoma"/>
            <family val="2"/>
          </rPr>
          <t>Selected C</t>
        </r>
        <r>
          <rPr>
            <b/>
            <vertAlign val="subscript"/>
            <sz val="9"/>
            <color indexed="81"/>
            <rFont val="Tahoma"/>
            <family val="2"/>
          </rPr>
          <t>IMON</t>
        </r>
        <r>
          <rPr>
            <b/>
            <sz val="9"/>
            <color indexed="81"/>
            <rFont val="Tahoma"/>
            <family val="2"/>
          </rPr>
          <t xml:space="preserve"> Capacitor</t>
        </r>
        <r>
          <rPr>
            <sz val="9"/>
            <color indexed="81"/>
            <rFont val="Tahoma"/>
            <family val="2"/>
          </rPr>
          <t xml:space="preserve">
This is the selected C</t>
        </r>
        <r>
          <rPr>
            <vertAlign val="subscript"/>
            <sz val="9"/>
            <color indexed="81"/>
            <rFont val="Tahoma"/>
            <family val="2"/>
          </rPr>
          <t>IMON</t>
        </r>
        <r>
          <rPr>
            <sz val="9"/>
            <color indexed="81"/>
            <rFont val="Tahoma"/>
            <family val="2"/>
          </rPr>
          <t xml:space="preserve"> capacitor. The selected value should be based on the calculated value above.</t>
        </r>
      </text>
    </comment>
    <comment ref="B125" authorId="0" shapeId="0">
      <text>
        <r>
          <rPr>
            <b/>
            <sz val="9"/>
            <color indexed="81"/>
            <rFont val="Tahoma"/>
            <family val="2"/>
          </rPr>
          <t>V</t>
        </r>
        <r>
          <rPr>
            <b/>
            <vertAlign val="subscript"/>
            <sz val="9"/>
            <color indexed="81"/>
            <rFont val="Tahoma"/>
            <family val="2"/>
          </rPr>
          <t>IMON</t>
        </r>
        <r>
          <rPr>
            <b/>
            <sz val="9"/>
            <color indexed="81"/>
            <rFont val="Tahoma"/>
            <family val="2"/>
          </rPr>
          <t xml:space="preserve"> Ripple
</t>
        </r>
        <r>
          <rPr>
            <sz val="9"/>
            <color indexed="81"/>
            <rFont val="Tahoma"/>
            <family val="2"/>
          </rPr>
          <t>This is the amount of voltage ripple on the IMON pin at full load. This can be decreased by increasing the C</t>
        </r>
        <r>
          <rPr>
            <vertAlign val="subscript"/>
            <sz val="9"/>
            <color indexed="81"/>
            <rFont val="Tahoma"/>
            <family val="2"/>
          </rPr>
          <t>IMON</t>
        </r>
        <r>
          <rPr>
            <sz val="9"/>
            <color indexed="81"/>
            <rFont val="Tahoma"/>
            <family val="2"/>
          </rPr>
          <t xml:space="preserve"> capacitance</t>
        </r>
      </text>
    </comment>
    <comment ref="B126" authorId="0" shapeId="0">
      <text>
        <r>
          <rPr>
            <b/>
            <sz val="9"/>
            <color indexed="81"/>
            <rFont val="Tahoma"/>
            <family val="2"/>
          </rPr>
          <t xml:space="preserve">Corner Frequency
</t>
        </r>
        <r>
          <rPr>
            <sz val="9"/>
            <color indexed="81"/>
            <rFont val="Tahoma"/>
            <family val="2"/>
          </rPr>
          <t>This is the corner frequency of the IMON resistor and capacitor.</t>
        </r>
      </text>
    </comment>
    <comment ref="B131" authorId="0" shapeId="0">
      <text>
        <r>
          <rPr>
            <b/>
            <sz val="9"/>
            <color indexed="81"/>
            <rFont val="Tahoma"/>
            <family val="2"/>
          </rPr>
          <t xml:space="preserve">Dead Time Configuration
</t>
        </r>
        <r>
          <rPr>
            <sz val="9"/>
            <color indexed="81"/>
            <rFont val="Tahoma"/>
            <family val="2"/>
          </rPr>
          <t>The dead time of the LM5170 can either be programmed or it can be set to adaptive. See the datasheet for more details</t>
        </r>
      </text>
    </comment>
    <comment ref="B132" authorId="0" shapeId="0">
      <text>
        <r>
          <rPr>
            <b/>
            <sz val="9"/>
            <color indexed="81"/>
            <rFont val="Tahoma"/>
            <family val="2"/>
          </rPr>
          <t>Selected Dead Time</t>
        </r>
        <r>
          <rPr>
            <sz val="9"/>
            <color indexed="81"/>
            <rFont val="Tahoma"/>
            <family val="2"/>
          </rPr>
          <t xml:space="preserve">
This is the dead time between the LO and HO signals
The </t>
        </r>
        <r>
          <rPr>
            <b/>
            <sz val="9"/>
            <color indexed="81"/>
            <rFont val="Tahoma"/>
            <family val="2"/>
          </rPr>
          <t>minimum</t>
        </r>
        <r>
          <rPr>
            <sz val="9"/>
            <color indexed="81"/>
            <rFont val="Tahoma"/>
            <family val="2"/>
          </rPr>
          <t xml:space="preserve"> value is: </t>
        </r>
        <r>
          <rPr>
            <b/>
            <sz val="9"/>
            <color indexed="81"/>
            <rFont val="Tahoma"/>
            <family val="2"/>
          </rPr>
          <t>15ns</t>
        </r>
        <r>
          <rPr>
            <sz val="9"/>
            <color indexed="81"/>
            <rFont val="Tahoma"/>
            <family val="2"/>
          </rPr>
          <t xml:space="preserve">
The </t>
        </r>
        <r>
          <rPr>
            <b/>
            <sz val="9"/>
            <color indexed="81"/>
            <rFont val="Tahoma"/>
            <family val="2"/>
          </rPr>
          <t>maximum</t>
        </r>
        <r>
          <rPr>
            <sz val="9"/>
            <color indexed="81"/>
            <rFont val="Tahoma"/>
            <family val="2"/>
          </rPr>
          <t xml:space="preserve"> values is: </t>
        </r>
        <r>
          <rPr>
            <b/>
            <sz val="9"/>
            <color indexed="81"/>
            <rFont val="Tahoma"/>
            <family val="2"/>
          </rPr>
          <t>200ns</t>
        </r>
      </text>
    </comment>
    <comment ref="B133" authorId="0" shapeId="0">
      <text>
        <r>
          <rPr>
            <b/>
            <sz val="9"/>
            <color indexed="81"/>
            <rFont val="Tahoma"/>
            <family val="2"/>
          </rPr>
          <t>Dead Time Resistor</t>
        </r>
        <r>
          <rPr>
            <sz val="9"/>
            <color indexed="81"/>
            <rFont val="Tahoma"/>
            <family val="2"/>
          </rPr>
          <t xml:space="preserve">
Calculated dead time resistor based on the above selected dead time value.</t>
        </r>
      </text>
    </comment>
    <comment ref="B134" authorId="0" shapeId="0">
      <text>
        <r>
          <rPr>
            <b/>
            <sz val="9"/>
            <color indexed="81"/>
            <rFont val="Tahoma"/>
            <family val="2"/>
          </rPr>
          <t>Selected Dead Time Resistor</t>
        </r>
        <r>
          <rPr>
            <sz val="9"/>
            <color indexed="81"/>
            <rFont val="Tahoma"/>
            <family val="2"/>
          </rPr>
          <t xml:space="preserve">
This is the selected dead time resistor. The selection of this value should be based on the above calculated value</t>
        </r>
      </text>
    </comment>
    <comment ref="B135" authorId="0" shapeId="0">
      <text>
        <r>
          <rPr>
            <b/>
            <sz val="9"/>
            <color indexed="81"/>
            <rFont val="Tahoma"/>
            <family val="2"/>
          </rPr>
          <t>LO falling to HO rising Dead Time</t>
        </r>
        <r>
          <rPr>
            <sz val="9"/>
            <color indexed="81"/>
            <rFont val="Tahoma"/>
            <family val="2"/>
          </rPr>
          <t xml:space="preserve">
This is the dead time between the LO and HO signal</t>
        </r>
      </text>
    </comment>
    <comment ref="B136" authorId="0" shapeId="0">
      <text>
        <r>
          <rPr>
            <b/>
            <sz val="9"/>
            <color indexed="81"/>
            <rFont val="Tahoma"/>
            <family val="2"/>
          </rPr>
          <t xml:space="preserve">HO falling to LO rising Dead Time
</t>
        </r>
        <r>
          <rPr>
            <sz val="9"/>
            <color indexed="81"/>
            <rFont val="Tahoma"/>
            <family val="2"/>
          </rPr>
          <t xml:space="preserve">
This is the dead time between the LO and HO signal</t>
        </r>
      </text>
    </comment>
    <comment ref="B141" authorId="0" shapeId="0">
      <text>
        <r>
          <rPr>
            <b/>
            <sz val="9"/>
            <color indexed="81"/>
            <rFont val="Tahoma"/>
            <family val="2"/>
          </rPr>
          <t>I</t>
        </r>
        <r>
          <rPr>
            <b/>
            <vertAlign val="superscript"/>
            <sz val="9"/>
            <color indexed="81"/>
            <rFont val="Tahoma"/>
            <family val="2"/>
          </rPr>
          <t>2</t>
        </r>
        <r>
          <rPr>
            <b/>
            <sz val="9"/>
            <color indexed="81"/>
            <rFont val="Tahoma"/>
            <family val="2"/>
          </rPr>
          <t>C Adress</t>
        </r>
        <r>
          <rPr>
            <sz val="9"/>
            <color indexed="81"/>
            <rFont val="Tahoma"/>
            <family val="2"/>
          </rPr>
          <t xml:space="preserve">
I2C Adress can be configured from 0x0 to 0x7.</t>
        </r>
      </text>
    </comment>
    <comment ref="B142" authorId="0" shapeId="0">
      <text>
        <r>
          <rPr>
            <b/>
            <sz val="9"/>
            <color indexed="81"/>
            <rFont val="Tahoma"/>
            <family val="2"/>
          </rPr>
          <t xml:space="preserve">IMON option
</t>
        </r>
        <r>
          <rPr>
            <sz val="9"/>
            <color indexed="81"/>
            <rFont val="Tahoma"/>
            <family val="2"/>
          </rPr>
          <t xml:space="preserve">
Select </t>
        </r>
        <r>
          <rPr>
            <b/>
            <sz val="9"/>
            <color indexed="81"/>
            <rFont val="Tahoma"/>
            <family val="2"/>
          </rPr>
          <t>LV side current</t>
        </r>
        <r>
          <rPr>
            <sz val="9"/>
            <color indexed="81"/>
            <rFont val="Tahoma"/>
            <family val="2"/>
          </rPr>
          <t xml:space="preserve"> or </t>
        </r>
        <r>
          <rPr>
            <b/>
            <sz val="9"/>
            <color indexed="81"/>
            <rFont val="Tahoma"/>
            <family val="2"/>
          </rPr>
          <t>HV side current:</t>
        </r>
        <r>
          <rPr>
            <sz val="9"/>
            <color indexed="81"/>
            <rFont val="Tahoma"/>
            <family val="2"/>
          </rPr>
          <t xml:space="preserve">
</t>
        </r>
        <r>
          <rPr>
            <b/>
            <sz val="9"/>
            <color indexed="81"/>
            <rFont val="Tahoma"/>
            <family val="2"/>
          </rPr>
          <t>I_LV:</t>
        </r>
        <r>
          <rPr>
            <sz val="9"/>
            <color indexed="81"/>
            <rFont val="Tahoma"/>
            <family val="2"/>
          </rPr>
          <t xml:space="preserve"> LV side current i</t>
        </r>
        <r>
          <rPr>
            <vertAlign val="subscript"/>
            <sz val="9"/>
            <color indexed="81"/>
            <rFont val="Tahoma"/>
            <family val="2"/>
          </rPr>
          <t>LM</t>
        </r>
        <r>
          <rPr>
            <sz val="9"/>
            <color indexed="81"/>
            <rFont val="Tahoma"/>
            <family val="2"/>
          </rPr>
          <t xml:space="preserve">
</t>
        </r>
        <r>
          <rPr>
            <b/>
            <sz val="9"/>
            <color indexed="81"/>
            <rFont val="Tahoma"/>
            <family val="2"/>
          </rPr>
          <t xml:space="preserve">I_HV: </t>
        </r>
        <r>
          <rPr>
            <sz val="9"/>
            <color indexed="81"/>
            <rFont val="Tahoma"/>
            <family val="2"/>
          </rPr>
          <t>HV side current, that is D*i</t>
        </r>
        <r>
          <rPr>
            <vertAlign val="subscript"/>
            <sz val="9"/>
            <color indexed="81"/>
            <rFont val="Tahoma"/>
            <family val="2"/>
          </rPr>
          <t>LM</t>
        </r>
        <r>
          <rPr>
            <sz val="9"/>
            <color indexed="81"/>
            <rFont val="Tahoma"/>
            <family val="2"/>
          </rPr>
          <t xml:space="preserve"> for buck, (1-D)*i</t>
        </r>
        <r>
          <rPr>
            <vertAlign val="subscript"/>
            <sz val="9"/>
            <color indexed="81"/>
            <rFont val="Tahoma"/>
            <family val="2"/>
          </rPr>
          <t>LM</t>
        </r>
        <r>
          <rPr>
            <sz val="9"/>
            <color indexed="81"/>
            <rFont val="Tahoma"/>
            <family val="2"/>
          </rPr>
          <t xml:space="preserve"> for boost</t>
        </r>
      </text>
    </comment>
    <comment ref="B143" authorId="0" shapeId="0">
      <text>
        <r>
          <rPr>
            <b/>
            <sz val="9"/>
            <color indexed="81"/>
            <rFont val="Tahoma"/>
            <family val="2"/>
          </rPr>
          <t xml:space="preserve">CFG Configuration
</t>
        </r>
        <r>
          <rPr>
            <sz val="9"/>
            <color indexed="81"/>
            <rFont val="Tahoma"/>
            <family val="2"/>
          </rPr>
          <t>Suggested R</t>
        </r>
        <r>
          <rPr>
            <vertAlign val="subscript"/>
            <sz val="9"/>
            <color indexed="81"/>
            <rFont val="Tahoma"/>
            <family val="2"/>
          </rPr>
          <t>CFG</t>
        </r>
        <r>
          <rPr>
            <sz val="9"/>
            <color indexed="81"/>
            <rFont val="Tahoma"/>
            <family val="2"/>
          </rPr>
          <t xml:space="preserve"> based on selected I</t>
        </r>
        <r>
          <rPr>
            <vertAlign val="superscript"/>
            <sz val="9"/>
            <color indexed="81"/>
            <rFont val="Tahoma"/>
            <family val="2"/>
          </rPr>
          <t>2</t>
        </r>
        <r>
          <rPr>
            <sz val="9"/>
            <color indexed="81"/>
            <rFont val="Tahoma"/>
            <family val="2"/>
          </rPr>
          <t>C adress and IMON option.</t>
        </r>
      </text>
    </comment>
    <comment ref="B145" authorId="0" shapeId="0">
      <text>
        <r>
          <rPr>
            <b/>
            <sz val="9"/>
            <color indexed="81"/>
            <rFont val="Tahoma"/>
            <family val="2"/>
          </rPr>
          <t xml:space="preserve">Desired interleaving phase angle
</t>
        </r>
        <r>
          <rPr>
            <sz val="9"/>
            <color indexed="81"/>
            <rFont val="Tahoma"/>
            <family val="2"/>
          </rPr>
          <t xml:space="preserve">
Select 180° for 2*n phase interleaving.
Select 240° for 3*n phase interleaving.</t>
        </r>
      </text>
    </comment>
    <comment ref="B146" authorId="1" shapeId="0">
      <text>
        <r>
          <rPr>
            <b/>
            <sz val="9"/>
            <color indexed="81"/>
            <rFont val="Tahoma"/>
            <family val="2"/>
          </rPr>
          <t xml:space="preserve">OPT level:
</t>
        </r>
        <r>
          <rPr>
            <sz val="9"/>
            <color indexed="81"/>
            <rFont val="Tahoma"/>
            <family val="2"/>
          </rPr>
          <t>Set OPT to 0V ~ 1V for LOW.
Set OPT to 2V ~ 5V for HIGH.</t>
        </r>
      </text>
    </comment>
    <comment ref="B151" authorId="0" shapeId="0">
      <text>
        <r>
          <rPr>
            <b/>
            <sz val="9"/>
            <color indexed="81"/>
            <rFont val="Tahoma"/>
            <family val="2"/>
          </rPr>
          <t xml:space="preserve">Path Resistance
</t>
        </r>
        <r>
          <rPr>
            <sz val="9"/>
            <color indexed="81"/>
            <rFont val="Tahoma"/>
            <family val="2"/>
          </rPr>
          <t>R</t>
        </r>
        <r>
          <rPr>
            <vertAlign val="subscript"/>
            <sz val="9"/>
            <color indexed="81"/>
            <rFont val="Tahoma"/>
            <family val="2"/>
          </rPr>
          <t>S</t>
        </r>
        <r>
          <rPr>
            <sz val="9"/>
            <color indexed="81"/>
            <rFont val="Tahoma"/>
            <family val="2"/>
          </rPr>
          <t xml:space="preserve"> is the equivalent total resistance along the current path excluding R</t>
        </r>
        <r>
          <rPr>
            <vertAlign val="subscript"/>
            <sz val="9"/>
            <color indexed="81"/>
            <rFont val="Tahoma"/>
            <family val="2"/>
          </rPr>
          <t>CS</t>
        </r>
        <r>
          <rPr>
            <sz val="9"/>
            <color indexed="81"/>
            <rFont val="Tahoma"/>
            <family val="2"/>
          </rPr>
          <t>. A reasonable estimate of this value is 10m</t>
        </r>
        <r>
          <rPr>
            <sz val="9"/>
            <color indexed="81"/>
            <rFont val="Calibri"/>
            <family val="2"/>
          </rPr>
          <t>Ω</t>
        </r>
        <r>
          <rPr>
            <sz val="9"/>
            <color indexed="81"/>
            <rFont val="Tahoma"/>
            <family val="2"/>
          </rPr>
          <t xml:space="preserve"> </t>
        </r>
      </text>
    </comment>
    <comment ref="B152" authorId="0" shapeId="0">
      <text>
        <r>
          <rPr>
            <b/>
            <sz val="9"/>
            <color indexed="81"/>
            <rFont val="Tahoma"/>
            <family val="2"/>
          </rPr>
          <t>Suggested Cross Over Frequency</t>
        </r>
        <r>
          <rPr>
            <sz val="9"/>
            <color indexed="81"/>
            <rFont val="Tahoma"/>
            <family val="2"/>
          </rPr>
          <t xml:space="preserve">
This is estimated to be 1/6.28 of the switching frequency. This should allow for easy compensation and stability when adding voltage loop control.</t>
        </r>
      </text>
    </comment>
    <comment ref="B153" authorId="0" shapeId="0">
      <text>
        <r>
          <rPr>
            <b/>
            <sz val="9"/>
            <color indexed="81"/>
            <rFont val="Tahoma"/>
            <family val="2"/>
          </rPr>
          <t>Crossover Frequency</t>
        </r>
        <r>
          <rPr>
            <sz val="9"/>
            <color indexed="81"/>
            <rFont val="Tahoma"/>
            <family val="2"/>
          </rPr>
          <t xml:space="preserve">
This is the selected crossover frequency of the current loop. The compensation values will be set to this
</t>
        </r>
      </text>
    </comment>
    <comment ref="B154" authorId="0" shapeId="0">
      <text>
        <r>
          <rPr>
            <b/>
            <sz val="9"/>
            <color indexed="81"/>
            <rFont val="Tahoma"/>
            <family val="2"/>
          </rPr>
          <t>Calculated R</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5" authorId="0" shapeId="0">
      <text>
        <r>
          <rPr>
            <b/>
            <sz val="9"/>
            <color indexed="81"/>
            <rFont val="Tahoma"/>
            <family val="2"/>
          </rPr>
          <t>Selected R</t>
        </r>
        <r>
          <rPr>
            <b/>
            <vertAlign val="subscript"/>
            <sz val="9"/>
            <color indexed="81"/>
            <rFont val="Tahoma"/>
            <family val="2"/>
          </rPr>
          <t>COMP</t>
        </r>
        <r>
          <rPr>
            <b/>
            <sz val="9"/>
            <color indexed="81"/>
            <rFont val="Tahoma"/>
            <family val="2"/>
          </rPr>
          <t xml:space="preserve">
</t>
        </r>
        <r>
          <rPr>
            <sz val="9"/>
            <color indexed="81"/>
            <rFont val="Tahoma"/>
            <family val="2"/>
          </rPr>
          <t xml:space="preserve">This value should reflect the calculated value above. Adjusting this value will move the affect the pole and the zero location of the compensation.
</t>
        </r>
      </text>
    </comment>
    <comment ref="B156" authorId="0" shapeId="0">
      <text>
        <r>
          <rPr>
            <b/>
            <sz val="9"/>
            <color indexed="81"/>
            <rFont val="Tahoma"/>
            <family val="2"/>
          </rPr>
          <t>Calculated C</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7" authorId="0" shapeId="0">
      <text>
        <r>
          <rPr>
            <b/>
            <sz val="9"/>
            <color indexed="81"/>
            <rFont val="Tahoma"/>
            <family val="2"/>
          </rPr>
          <t>Selected C</t>
        </r>
        <r>
          <rPr>
            <b/>
            <vertAlign val="subscript"/>
            <sz val="9"/>
            <color indexed="81"/>
            <rFont val="Tahoma"/>
            <family val="2"/>
          </rPr>
          <t>COMP</t>
        </r>
        <r>
          <rPr>
            <b/>
            <sz val="9"/>
            <color indexed="81"/>
            <rFont val="Tahoma"/>
            <family val="2"/>
          </rPr>
          <t xml:space="preserve">
</t>
        </r>
        <r>
          <rPr>
            <sz val="9"/>
            <color indexed="81"/>
            <rFont val="Tahoma"/>
            <family val="2"/>
          </rPr>
          <t xml:space="preserve">
This value should reflect the calculated value above. Adjusting this value will move the affect the zero location of the compensation.</t>
        </r>
        <r>
          <rPr>
            <b/>
            <sz val="9"/>
            <color indexed="81"/>
            <rFont val="Tahoma"/>
            <family val="2"/>
          </rPr>
          <t xml:space="preserve">
</t>
        </r>
      </text>
    </comment>
    <comment ref="B158" authorId="0" shapeId="0">
      <text>
        <r>
          <rPr>
            <b/>
            <sz val="9"/>
            <color indexed="81"/>
            <rFont val="Tahoma"/>
            <family val="2"/>
          </rPr>
          <t>Calculated CHF</t>
        </r>
        <r>
          <rPr>
            <sz val="9"/>
            <color indexed="81"/>
            <rFont val="Tahoma"/>
            <family val="2"/>
          </rPr>
          <t xml:space="preserve">
See datasheet for details on how to calculate this value
</t>
        </r>
      </text>
    </comment>
    <comment ref="B159" authorId="0" shapeId="0">
      <text>
        <r>
          <rPr>
            <b/>
            <sz val="9"/>
            <color indexed="81"/>
            <rFont val="Tahoma"/>
            <family val="2"/>
          </rPr>
          <t>Selected C</t>
        </r>
        <r>
          <rPr>
            <b/>
            <vertAlign val="subscript"/>
            <sz val="9"/>
            <color indexed="81"/>
            <rFont val="Tahoma"/>
            <family val="2"/>
          </rPr>
          <t>HF</t>
        </r>
        <r>
          <rPr>
            <b/>
            <sz val="9"/>
            <color indexed="81"/>
            <rFont val="Tahoma"/>
            <family val="2"/>
          </rPr>
          <t xml:space="preserve">
</t>
        </r>
        <r>
          <rPr>
            <sz val="9"/>
            <color indexed="81"/>
            <rFont val="Tahoma"/>
            <family val="2"/>
          </rPr>
          <t xml:space="preserve">
This value should reflect the calculated value above. Adjusting this value will move the affect the pole location of the compensation network.
</t>
        </r>
      </text>
    </comment>
    <comment ref="B160" authorId="0" shapeId="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161" authorId="0" shapeId="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r>
          <rPr>
            <b/>
            <sz val="9"/>
            <color indexed="81"/>
            <rFont val="Tahoma"/>
            <family val="2"/>
          </rPr>
          <t>.</t>
        </r>
        <r>
          <rPr>
            <sz val="9"/>
            <color indexed="81"/>
            <rFont val="Tahoma"/>
            <family val="2"/>
          </rPr>
          <t xml:space="preserve">
</t>
        </r>
      </text>
    </comment>
    <comment ref="B166" authorId="1" shapeId="0">
      <text>
        <r>
          <rPr>
            <b/>
            <sz val="9"/>
            <color indexed="81"/>
            <rFont val="Tahoma"/>
            <family val="2"/>
          </rPr>
          <t>Suggested Resistor for R</t>
        </r>
        <r>
          <rPr>
            <b/>
            <vertAlign val="subscript"/>
            <sz val="9"/>
            <color indexed="81"/>
            <rFont val="Tahoma"/>
            <family val="2"/>
          </rPr>
          <t>ISETB</t>
        </r>
        <r>
          <rPr>
            <b/>
            <sz val="9"/>
            <color indexed="81"/>
            <rFont val="Tahoma"/>
            <family val="2"/>
          </rPr>
          <t xml:space="preserve">
</t>
        </r>
        <r>
          <rPr>
            <sz val="9"/>
            <color indexed="81"/>
            <rFont val="Tahoma"/>
            <family val="2"/>
          </rPr>
          <t>R</t>
        </r>
        <r>
          <rPr>
            <vertAlign val="subscript"/>
            <sz val="9"/>
            <color indexed="81"/>
            <rFont val="Tahoma"/>
            <family val="2"/>
          </rPr>
          <t>ISETB</t>
        </r>
        <r>
          <rPr>
            <sz val="9"/>
            <color indexed="81"/>
            <rFont val="Tahoma"/>
            <family val="2"/>
          </rPr>
          <t xml:space="preserve"> and R</t>
        </r>
        <r>
          <rPr>
            <vertAlign val="subscript"/>
            <sz val="9"/>
            <color indexed="81"/>
            <rFont val="Tahoma"/>
            <family val="2"/>
          </rPr>
          <t>ISETT</t>
        </r>
        <r>
          <rPr>
            <sz val="9"/>
            <color indexed="81"/>
            <rFont val="Tahoma"/>
            <family val="2"/>
          </rPr>
          <t xml:space="preserve"> are set to limit the maximum voltage on ISETx, thus the maximum average inductor current is limited.</t>
        </r>
        <r>
          <rPr>
            <b/>
            <sz val="9"/>
            <color indexed="81"/>
            <rFont val="Tahoma"/>
            <family val="2"/>
          </rPr>
          <t xml:space="preserve">
</t>
        </r>
        <r>
          <rPr>
            <sz val="9"/>
            <color indexed="81"/>
            <rFont val="Tahoma"/>
            <family val="2"/>
          </rPr>
          <t>This is calculated by assuming 1mA is drawn.
0.1~1mA is a good starting point for selecting R</t>
        </r>
        <r>
          <rPr>
            <vertAlign val="subscript"/>
            <sz val="9"/>
            <color indexed="81"/>
            <rFont val="Tahoma"/>
            <family val="2"/>
          </rPr>
          <t>ISETB</t>
        </r>
        <r>
          <rPr>
            <sz val="9"/>
            <color indexed="81"/>
            <rFont val="Tahoma"/>
            <family val="2"/>
          </rPr>
          <t xml:space="preserve"> resistors.</t>
        </r>
      </text>
    </comment>
    <comment ref="B168" authorId="1" shapeId="0">
      <text>
        <r>
          <rPr>
            <b/>
            <sz val="9"/>
            <color indexed="81"/>
            <rFont val="Tahoma"/>
            <family val="2"/>
          </rPr>
          <t>Suggested R</t>
        </r>
        <r>
          <rPr>
            <b/>
            <vertAlign val="subscript"/>
            <sz val="9"/>
            <color indexed="81"/>
            <rFont val="Tahoma"/>
            <family val="2"/>
          </rPr>
          <t>ISETT</t>
        </r>
        <r>
          <rPr>
            <b/>
            <sz val="9"/>
            <color indexed="81"/>
            <rFont val="Tahoma"/>
            <family val="2"/>
          </rPr>
          <t xml:space="preserve">
</t>
        </r>
        <r>
          <rPr>
            <sz val="9"/>
            <color indexed="81"/>
            <rFont val="Tahoma"/>
            <family val="2"/>
          </rPr>
          <t>This is calculated based on selected R</t>
        </r>
        <r>
          <rPr>
            <vertAlign val="subscript"/>
            <sz val="9"/>
            <color indexed="81"/>
            <rFont val="Tahoma"/>
            <family val="2"/>
          </rPr>
          <t>ISETB</t>
        </r>
        <r>
          <rPr>
            <sz val="9"/>
            <color indexed="81"/>
            <rFont val="Tahoma"/>
            <family val="2"/>
          </rPr>
          <t xml:space="preserve">. </t>
        </r>
        <r>
          <rPr>
            <vertAlign val="subscript"/>
            <sz val="9"/>
            <color indexed="81"/>
            <rFont val="Tahoma"/>
            <family val="2"/>
          </rPr>
          <t xml:space="preserve">
</t>
        </r>
        <r>
          <rPr>
            <sz val="9"/>
            <color indexed="81"/>
            <rFont val="Tahoma"/>
            <family val="2"/>
          </rPr>
          <t>If this is negative, you may need to reduce R</t>
        </r>
        <r>
          <rPr>
            <vertAlign val="subscript"/>
            <sz val="9"/>
            <color indexed="81"/>
            <rFont val="Tahoma"/>
            <family val="2"/>
          </rPr>
          <t>cs</t>
        </r>
        <r>
          <rPr>
            <sz val="9"/>
            <color indexed="81"/>
            <rFont val="Tahoma"/>
            <family val="2"/>
          </rPr>
          <t xml:space="preserve"> so that the peak current can be reached.</t>
        </r>
      </text>
    </comment>
    <comment ref="B174" authorId="0" shapeId="0">
      <text>
        <r>
          <rPr>
            <b/>
            <sz val="9"/>
            <color indexed="81"/>
            <rFont val="Tahoma"/>
            <family val="2"/>
          </rPr>
          <t xml:space="preserve">External Reference Voltage
</t>
        </r>
        <r>
          <rPr>
            <sz val="9"/>
            <color indexed="81"/>
            <rFont val="Tahoma"/>
            <family val="2"/>
          </rPr>
          <t xml:space="preserve">
This is the reference voltage for the voltage loop. This value will be used to calculate the feedback resistors. </t>
        </r>
      </text>
    </comment>
    <comment ref="B175" authorId="0" shapeId="0">
      <text>
        <r>
          <rPr>
            <b/>
            <sz val="9"/>
            <color indexed="81"/>
            <rFont val="Tahoma"/>
            <family val="2"/>
          </rPr>
          <t>Selected Bottom Resistor</t>
        </r>
        <r>
          <rPr>
            <sz val="9"/>
            <color indexed="81"/>
            <rFont val="Tahoma"/>
            <family val="2"/>
          </rPr>
          <t xml:space="preserve">
This is the selected bottom resistor of the FBLV resistor divider. 
A good starting point for this value is in the 1kΩ to 20k</t>
        </r>
        <r>
          <rPr>
            <sz val="9"/>
            <color indexed="81"/>
            <rFont val="Calibri"/>
            <family val="2"/>
          </rPr>
          <t>Ω</t>
        </r>
        <r>
          <rPr>
            <sz val="9"/>
            <color indexed="81"/>
            <rFont val="Tahoma"/>
            <family val="2"/>
          </rPr>
          <t xml:space="preserve"> range. 
The larger this value the less current will flow in the divider making the FBLV signal more susceptible to noise. However the current draw from the output will be smaller.</t>
        </r>
      </text>
    </comment>
    <comment ref="B176" authorId="0" shapeId="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is the value calculated in order to set the feedback node at FBLV</t>
        </r>
        <r>
          <rPr>
            <sz val="9"/>
            <color indexed="81"/>
            <rFont val="Tahoma"/>
            <family val="2"/>
          </rPr>
          <t xml:space="preserve"> when the output voltage in buck mode is set to be the nominal value of the LV Port voltage.</t>
        </r>
      </text>
    </comment>
    <comment ref="B177" authorId="0" shapeId="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
The selected value should reflect the calculated value above.</t>
        </r>
      </text>
    </comment>
    <comment ref="B178" authorId="0" shapeId="0">
      <text>
        <r>
          <rPr>
            <b/>
            <sz val="9"/>
            <color indexed="81"/>
            <rFont val="Tahoma"/>
            <family val="2"/>
          </rPr>
          <t>Suggested Crossover Frequency</t>
        </r>
        <r>
          <rPr>
            <sz val="9"/>
            <color indexed="81"/>
            <rFont val="Tahoma"/>
            <family val="2"/>
          </rPr>
          <t xml:space="preserve">
This value is set to be around 1/10 that of the current loop cross over frequency. For best operation the voltage loop should be slower than that of the current loop.</t>
        </r>
      </text>
    </comment>
    <comment ref="B179" authorId="0" shapeId="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80" authorId="0" shapeId="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t>
        </r>
      </text>
    </comment>
    <comment ref="B182" authorId="0" shapeId="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84" authorId="0" shapeId="0">
      <text>
        <r>
          <rPr>
            <b/>
            <sz val="9"/>
            <color indexed="81"/>
            <rFont val="Tahoma"/>
            <family val="2"/>
          </rPr>
          <t>C</t>
        </r>
        <r>
          <rPr>
            <b/>
            <vertAlign val="subscript"/>
            <sz val="9"/>
            <color indexed="81"/>
            <rFont val="Tahoma"/>
            <family val="2"/>
          </rPr>
          <t>HF</t>
        </r>
        <r>
          <rPr>
            <b/>
            <sz val="9"/>
            <color indexed="81"/>
            <rFont val="Tahoma"/>
            <family val="2"/>
          </rPr>
          <t xml:space="preserve"> Calculated
</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86" authorId="0" shapeId="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187" authorId="0" shapeId="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text>
    </comment>
    <comment ref="B192" authorId="0" shapeId="0">
      <text>
        <r>
          <rPr>
            <b/>
            <sz val="9"/>
            <color indexed="81"/>
            <rFont val="Tahoma"/>
            <family val="2"/>
          </rPr>
          <t xml:space="preserve">External Reference Voltage
</t>
        </r>
        <r>
          <rPr>
            <sz val="9"/>
            <color indexed="81"/>
            <rFont val="Tahoma"/>
            <family val="2"/>
          </rPr>
          <t xml:space="preserve">
This is the external reference voltage for the voltage loop. This value will be used to calculate the feedback resistors. 
</t>
        </r>
      </text>
    </comment>
    <comment ref="B193" authorId="0" shapeId="0">
      <text>
        <r>
          <rPr>
            <b/>
            <sz val="9"/>
            <color indexed="81"/>
            <rFont val="Tahoma"/>
            <family val="2"/>
          </rPr>
          <t xml:space="preserve">Selected Bottom Resistor
</t>
        </r>
        <r>
          <rPr>
            <sz val="9"/>
            <color indexed="81"/>
            <rFont val="Tahoma"/>
            <family val="2"/>
          </rPr>
          <t>This is the selected bottom resistor of the FB resistor divider. 
A good starting point for this value is in the 1kΩ to 20kΩ range. 
The larger this value the less current will flow in the divider making the FBLV signal more susceptible to noise. However the current draw from the output will be smaller.</t>
        </r>
      </text>
    </comment>
    <comment ref="B194" authorId="0" shapeId="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is the value calculated in order to set the feedback node at FBHV when the output voltage in boost mode is set to be the nominal value of the HV Port voltage.</t>
        </r>
      </text>
    </comment>
    <comment ref="B195" authorId="0" shapeId="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The selected value should reflect the calculated value above.
</t>
        </r>
      </text>
    </comment>
    <comment ref="B196" authorId="0" shapeId="0">
      <text>
        <r>
          <rPr>
            <b/>
            <sz val="9"/>
            <color indexed="81"/>
            <rFont val="Tahoma"/>
            <family val="2"/>
          </rPr>
          <t xml:space="preserve">Suggested Crossover Frequency
</t>
        </r>
        <r>
          <rPr>
            <sz val="9"/>
            <color indexed="81"/>
            <rFont val="Tahoma"/>
            <family val="2"/>
          </rPr>
          <t>This is suggseted to be the lower value of:
    1/5 of the boost mode operation's RHP zero frequency (F</t>
        </r>
        <r>
          <rPr>
            <vertAlign val="subscript"/>
            <sz val="9"/>
            <color indexed="81"/>
            <rFont val="Tahoma"/>
            <family val="2"/>
          </rPr>
          <t>RHPzero</t>
        </r>
        <r>
          <rPr>
            <sz val="9"/>
            <color indexed="81"/>
            <rFont val="Tahoma"/>
            <family val="2"/>
          </rPr>
          <t>). 
    1/10 of the current loop crossover frequency.</t>
        </r>
      </text>
    </comment>
    <comment ref="B197" authorId="0" shapeId="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98" authorId="0" shapeId="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
</t>
        </r>
      </text>
    </comment>
    <comment ref="B200" authorId="0" shapeId="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202" authorId="0" shapeId="0">
      <text>
        <r>
          <rPr>
            <b/>
            <sz val="9"/>
            <color indexed="81"/>
            <rFont val="Tahoma"/>
            <family val="2"/>
          </rPr>
          <t>C</t>
        </r>
        <r>
          <rPr>
            <b/>
            <vertAlign val="subscript"/>
            <sz val="9"/>
            <color indexed="81"/>
            <rFont val="Tahoma"/>
            <family val="2"/>
          </rPr>
          <t>HF</t>
        </r>
        <r>
          <rPr>
            <b/>
            <sz val="9"/>
            <color indexed="81"/>
            <rFont val="Tahoma"/>
            <family val="2"/>
          </rPr>
          <t xml:space="preserve"> Calculated</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204" authorId="0" shapeId="0">
      <text>
        <r>
          <rPr>
            <b/>
            <sz val="9"/>
            <color indexed="81"/>
            <rFont val="Tahoma"/>
            <family val="2"/>
          </rPr>
          <t>Compensation Zero Location (F</t>
        </r>
        <r>
          <rPr>
            <b/>
            <vertAlign val="subscript"/>
            <sz val="9"/>
            <color indexed="81"/>
            <rFont val="Tahoma"/>
            <family val="2"/>
          </rPr>
          <t>Zcomp</t>
        </r>
        <r>
          <rPr>
            <b/>
            <sz val="9"/>
            <color indexed="81"/>
            <rFont val="Tahoma"/>
            <family val="2"/>
          </rPr>
          <t>)</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205" authorId="0" shapeId="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xml:space="preserve">. The location of the pole can be seen on the bobe plot.
</t>
        </r>
      </text>
    </comment>
  </commentList>
</comments>
</file>

<file path=xl/comments2.xml><?xml version="1.0" encoding="utf-8"?>
<comments xmlns="http://schemas.openxmlformats.org/spreadsheetml/2006/main">
  <authors>
    <author>PPD-NPS</author>
  </authors>
  <commentList>
    <comment ref="A45" authorId="0" shapeId="0">
      <text>
        <r>
          <rPr>
            <b/>
            <sz val="9"/>
            <color indexed="81"/>
            <rFont val="Tahoma"/>
            <family val="2"/>
          </rPr>
          <t>PPD-NPS:</t>
        </r>
        <r>
          <rPr>
            <sz val="9"/>
            <color indexed="81"/>
            <rFont val="Tahoma"/>
            <family val="2"/>
          </rPr>
          <t xml:space="preserve">
These should be updated and double checked
</t>
        </r>
      </text>
    </comment>
    <comment ref="E68" authorId="0" shapeId="0">
      <text>
        <r>
          <rPr>
            <b/>
            <sz val="9"/>
            <color indexed="81"/>
            <rFont val="Tahoma"/>
            <family val="2"/>
          </rPr>
          <t>Assuming the nominal voltages are the setpoint voltages for the 12V and 48V rail</t>
        </r>
      </text>
    </comment>
    <comment ref="A69" authorId="0" shapeId="0">
      <text>
        <r>
          <rPr>
            <b/>
            <sz val="9"/>
            <color indexed="81"/>
            <rFont val="Tahoma"/>
            <family val="2"/>
          </rPr>
          <t xml:space="preserve">This is the worst case ripple for the selected Inductance value and the maximum designed for load per phase
</t>
        </r>
      </text>
    </comment>
    <comment ref="A106" authorId="0" shapeId="0">
      <text>
        <r>
          <rPr>
            <b/>
            <sz val="9"/>
            <color indexed="81"/>
            <rFont val="Tahoma"/>
            <family val="2"/>
          </rPr>
          <t>PPD-NPS:</t>
        </r>
        <r>
          <rPr>
            <sz val="9"/>
            <color indexed="81"/>
            <rFont val="Tahoma"/>
            <family val="2"/>
          </rPr>
          <t xml:space="preserve">
This is calculated at Full Load (ISETA = 2.5V). For over ISETA values  the soft start time will be less due to the SS capacitor charging to a lower voltage</t>
        </r>
      </text>
    </comment>
    <comment ref="E139" authorId="0" shapeId="0">
      <text>
        <r>
          <rPr>
            <b/>
            <sz val="9"/>
            <color indexed="81"/>
            <rFont val="Tahoma"/>
            <family val="2"/>
          </rPr>
          <t>PPD-NPS:</t>
        </r>
        <r>
          <rPr>
            <sz val="9"/>
            <color indexed="81"/>
            <rFont val="Tahoma"/>
            <family val="2"/>
          </rPr>
          <t xml:space="preserve">
This is due to the internal circuitry of the LM5170. Around 4.5V on the IOUTx pin the current source becomes less accurate and will cause error
</t>
        </r>
      </text>
    </comment>
    <comment ref="E142" authorId="0" shapeId="0">
      <text>
        <r>
          <rPr>
            <b/>
            <sz val="9"/>
            <color indexed="81"/>
            <rFont val="Tahoma"/>
            <family val="2"/>
          </rPr>
          <t>PPD-NPS:</t>
        </r>
        <r>
          <rPr>
            <sz val="9"/>
            <color indexed="81"/>
            <rFont val="Tahoma"/>
            <family val="2"/>
          </rPr>
          <t xml:space="preserve">
PPD-NPS:
This is due to the internal circuitry of the LM5170. Around 4.5V on the IOUTx pin the current source becomes less accurate and will cause error</t>
        </r>
      </text>
    </comment>
    <comment ref="A167" authorId="0" shapeId="0">
      <text>
        <r>
          <rPr>
            <b/>
            <sz val="9"/>
            <color indexed="81"/>
            <rFont val="Tahoma"/>
            <family val="2"/>
          </rPr>
          <t>PPD-NPS:</t>
        </r>
        <r>
          <rPr>
            <sz val="9"/>
            <color indexed="81"/>
            <rFont val="Tahoma"/>
            <family val="2"/>
          </rPr>
          <t xml:space="preserve">
This will need to be altered in the future
</t>
        </r>
      </text>
    </comment>
  </commentList>
</comments>
</file>

<file path=xl/comments3.xml><?xml version="1.0" encoding="utf-8"?>
<comments xmlns="http://schemas.openxmlformats.org/spreadsheetml/2006/main">
  <authors>
    <author>PPD-NPS</author>
  </authors>
  <commentList>
    <comment ref="G5" authorId="0" shapeId="0">
      <text>
        <r>
          <rPr>
            <b/>
            <sz val="9"/>
            <color indexed="81"/>
            <rFont val="Tahoma"/>
            <family val="2"/>
          </rPr>
          <t xml:space="preserve">Follows Equation 28 of the datasheet
</t>
        </r>
      </text>
    </comment>
    <comment ref="AF76" authorId="0" shapeId="0">
      <text>
        <r>
          <rPr>
            <b/>
            <sz val="9"/>
            <color indexed="81"/>
            <rFont val="Tahoma"/>
            <family val="2"/>
          </rPr>
          <t>PPD-NPS:</t>
        </r>
        <r>
          <rPr>
            <sz val="9"/>
            <color indexed="81"/>
            <rFont val="Tahoma"/>
            <family val="2"/>
          </rPr>
          <t xml:space="preserve">
Multiplied by feedforward ramp already to save step</t>
        </r>
      </text>
    </comment>
    <comment ref="A134" authorId="0" shapeId="0">
      <text>
        <r>
          <rPr>
            <b/>
            <sz val="9"/>
            <color indexed="81"/>
            <rFont val="Tahoma"/>
            <family val="2"/>
          </rPr>
          <t>PPD-NPS:</t>
        </r>
        <r>
          <rPr>
            <sz val="9"/>
            <color indexed="81"/>
            <rFont val="Tahoma"/>
            <family val="2"/>
          </rPr>
          <t xml:space="preserve">
This is the Modulcator Gain at the Selected Crossover Frequncy of the </t>
        </r>
      </text>
    </comment>
    <comment ref="BD166" authorId="0" shapeId="0">
      <text>
        <r>
          <rPr>
            <b/>
            <sz val="9"/>
            <color indexed="81"/>
            <rFont val="Tahoma"/>
            <family val="2"/>
          </rPr>
          <t>PPD-NPS:</t>
        </r>
        <r>
          <rPr>
            <sz val="9"/>
            <color indexed="81"/>
            <rFont val="Tahoma"/>
            <family val="2"/>
          </rPr>
          <t xml:space="preserve">
Multiplied by feedforward ramp already to save step</t>
        </r>
      </text>
    </comment>
    <comment ref="A224" authorId="0" shapeId="0">
      <text>
        <r>
          <rPr>
            <b/>
            <sz val="9"/>
            <color indexed="81"/>
            <rFont val="Tahoma"/>
            <family val="2"/>
          </rPr>
          <t xml:space="preserve">PPD-NPS:
</t>
        </r>
        <r>
          <rPr>
            <sz val="9"/>
            <color indexed="81"/>
            <rFont val="Tahoma"/>
            <family val="2"/>
          </rPr>
          <t xml:space="preserve">Selected Cross over Frequency for Boost Mode
</t>
        </r>
      </text>
    </comment>
  </commentList>
</comments>
</file>

<file path=xl/comments4.xml><?xml version="1.0" encoding="utf-8"?>
<comments xmlns="http://schemas.openxmlformats.org/spreadsheetml/2006/main">
  <authors>
    <author>PPD-NPS</author>
  </authors>
  <commentList>
    <comment ref="A43" authorId="0" shapeId="0">
      <text>
        <r>
          <rPr>
            <b/>
            <sz val="9"/>
            <color indexed="81"/>
            <rFont val="Tahoma"/>
            <family val="2"/>
          </rPr>
          <t xml:space="preserve">ABS Max voltage on the RAMP pin
</t>
        </r>
      </text>
    </comment>
    <comment ref="A44" authorId="0" shapeId="0">
      <text>
        <r>
          <rPr>
            <b/>
            <sz val="9"/>
            <color indexed="81"/>
            <rFont val="Tahoma"/>
            <family val="2"/>
          </rPr>
          <t xml:space="preserve">Minimum RAMPx Voltage that will define an invalid signal
</t>
        </r>
      </text>
    </comment>
  </commentList>
</comments>
</file>

<file path=xl/sharedStrings.xml><?xml version="1.0" encoding="utf-8"?>
<sst xmlns="http://schemas.openxmlformats.org/spreadsheetml/2006/main" count="1149" uniqueCount="596">
  <si>
    <t>V12 Nom</t>
  </si>
  <si>
    <t>V</t>
  </si>
  <si>
    <t>Switching Frequency</t>
  </si>
  <si>
    <t>kHz</t>
  </si>
  <si>
    <t>A</t>
  </si>
  <si>
    <t>Selected Inductor</t>
  </si>
  <si>
    <t>uH</t>
  </si>
  <si>
    <r>
      <t>m</t>
    </r>
    <r>
      <rPr>
        <sz val="11"/>
        <color theme="1"/>
        <rFont val="Calibri"/>
        <family val="2"/>
      </rPr>
      <t>Ω</t>
    </r>
  </si>
  <si>
    <t>Selected Sense Resistor</t>
  </si>
  <si>
    <t>Inductor Selection</t>
  </si>
  <si>
    <t>DCM Boundaries</t>
  </si>
  <si>
    <t>Current Sense Voltage</t>
  </si>
  <si>
    <t>Peak Current</t>
  </si>
  <si>
    <t>Ripple Current</t>
  </si>
  <si>
    <t>LO Duty Cycle</t>
  </si>
  <si>
    <t>HO Duty Cycle</t>
  </si>
  <si>
    <r>
      <t>k</t>
    </r>
    <r>
      <rPr>
        <sz val="11"/>
        <color theme="1"/>
        <rFont val="Calibri"/>
        <family val="2"/>
      </rPr>
      <t>Ω</t>
    </r>
  </si>
  <si>
    <t>Spec Name</t>
  </si>
  <si>
    <t xml:space="preserve">Min </t>
  </si>
  <si>
    <t>Nom</t>
  </si>
  <si>
    <t>Max</t>
  </si>
  <si>
    <t>Unit</t>
  </si>
  <si>
    <t>Minimum Off Time</t>
  </si>
  <si>
    <t>s</t>
  </si>
  <si>
    <t>V48_Nom to V12_Nom</t>
  </si>
  <si>
    <t>Buck Channel Current</t>
  </si>
  <si>
    <t>%</t>
  </si>
  <si>
    <t>Total Number of Phases</t>
  </si>
  <si>
    <t>Value V Load Current</t>
  </si>
  <si>
    <t>Inductor DCR</t>
  </si>
  <si>
    <t>V48</t>
  </si>
  <si>
    <t>Output Impedance</t>
  </si>
  <si>
    <t>uF</t>
  </si>
  <si>
    <t>Frequency</t>
  </si>
  <si>
    <t>Frequency (rad/s)</t>
  </si>
  <si>
    <t>Frequency (Hz)</t>
  </si>
  <si>
    <t>Gain (dB)</t>
  </si>
  <si>
    <t>Phase (Degree)</t>
  </si>
  <si>
    <t>Complex Impedance</t>
  </si>
  <si>
    <t>kOhm</t>
  </si>
  <si>
    <t>nF</t>
  </si>
  <si>
    <t>gm (Error Amp)</t>
  </si>
  <si>
    <t>V/V</t>
  </si>
  <si>
    <t>Current Sense Amp Gain</t>
  </si>
  <si>
    <t>V12 Output Current</t>
  </si>
  <si>
    <t>ISETA to IL constant</t>
  </si>
  <si>
    <t>IOUT offset</t>
  </si>
  <si>
    <t>IOUT gm</t>
  </si>
  <si>
    <t>ohm</t>
  </si>
  <si>
    <t>ohm*Hz</t>
  </si>
  <si>
    <t>Oscillator Factor</t>
  </si>
  <si>
    <t>OVPA Resistance</t>
  </si>
  <si>
    <t>OVPB Resistance</t>
  </si>
  <si>
    <t>Ohm</t>
  </si>
  <si>
    <t>IPK Source Current</t>
  </si>
  <si>
    <t>BRK SYNCOUT Level: No Fault Check</t>
  </si>
  <si>
    <t>BRK SYNCOUT Level: Fault Check &gt;</t>
  </si>
  <si>
    <t>Dead Time Constant</t>
  </si>
  <si>
    <t>s/Ohm</t>
  </si>
  <si>
    <t>R IPK Calculation Voltage Constant</t>
  </si>
  <si>
    <t>R IPK Calculation Current Constant</t>
  </si>
  <si>
    <t>ISETD Resistance</t>
  </si>
  <si>
    <t>VCC UV Threshold</t>
  </si>
  <si>
    <t>UVLO Shutdown Thresold</t>
  </si>
  <si>
    <t>SS current</t>
  </si>
  <si>
    <t>Dead Time Adaptive Threshold</t>
  </si>
  <si>
    <t>UVLO Release Threshold</t>
  </si>
  <si>
    <t>Maximmum Ripple Current</t>
  </si>
  <si>
    <t>mV</t>
  </si>
  <si>
    <t>Inductor Ripple Currents</t>
  </si>
  <si>
    <t>V48_Nom to V12_Nom (Current Sense Voltage)</t>
  </si>
  <si>
    <t>V48_Max to V12_Nom</t>
  </si>
  <si>
    <t>V12_Min</t>
  </si>
  <si>
    <t>V12_Nom</t>
  </si>
  <si>
    <t>V12_Max</t>
  </si>
  <si>
    <t>Full Load V12 Calculations vs V48</t>
  </si>
  <si>
    <t>Ω</t>
  </si>
  <si>
    <t>V48_Nom to V12_Nom (Inductor AVG Current)</t>
  </si>
  <si>
    <t>V48_Min to V12_Nom (Current Sense Voltage)</t>
  </si>
  <si>
    <t>V48_Min to V12_Nom (Inductor AVG Current)</t>
  </si>
  <si>
    <t>V48_Max to V12_Nom (Current Sense Voltage)</t>
  </si>
  <si>
    <t>V48_Max to V12_Nom (Inductor AVG Current)</t>
  </si>
  <si>
    <t>Switching Parameters</t>
  </si>
  <si>
    <t>Hz</t>
  </si>
  <si>
    <t>Minmum Off Time (Buck)</t>
  </si>
  <si>
    <t>Minmum Off Time (Boost)</t>
  </si>
  <si>
    <t>Spec Violation</t>
  </si>
  <si>
    <t>Parameters</t>
  </si>
  <si>
    <t>V12 Port (Buck)</t>
  </si>
  <si>
    <t>V12 Port (Boost)</t>
  </si>
  <si>
    <t>V48 Port</t>
  </si>
  <si>
    <t>Oscillator Frequency</t>
  </si>
  <si>
    <t>Dead Time</t>
  </si>
  <si>
    <t>ns</t>
  </si>
  <si>
    <t>x</t>
  </si>
  <si>
    <t>kΩ</t>
  </si>
  <si>
    <t>Max V RAMPx</t>
  </si>
  <si>
    <t>Min V RAMPx</t>
  </si>
  <si>
    <t>V12</t>
  </si>
  <si>
    <t>V48_Min</t>
  </si>
  <si>
    <t>V48_Nom</t>
  </si>
  <si>
    <t>V48_Max</t>
  </si>
  <si>
    <t>UVLO</t>
  </si>
  <si>
    <t>ms</t>
  </si>
  <si>
    <t>Calculated SS Value</t>
  </si>
  <si>
    <t>ISETA MAX</t>
  </si>
  <si>
    <t>UVLO Type Selection</t>
  </si>
  <si>
    <t>V48 Rail Selection</t>
  </si>
  <si>
    <t>Minimum 48V Rail Voltage</t>
  </si>
  <si>
    <t>Nominal 48V Rail Voltage</t>
  </si>
  <si>
    <t>V12 Rail Selection</t>
  </si>
  <si>
    <t>Minimum 12V Rail Voltage</t>
  </si>
  <si>
    <t>Nominal 12V Rail Voltage</t>
  </si>
  <si>
    <t>Maximum 12V rail Voltage</t>
  </si>
  <si>
    <t>Maximum 48V rail Voltage</t>
  </si>
  <si>
    <t>User Input</t>
  </si>
  <si>
    <t>Calculated Value</t>
  </si>
  <si>
    <t>Fsw</t>
  </si>
  <si>
    <t>Converter switching frequency</t>
  </si>
  <si>
    <t>Current Selection</t>
  </si>
  <si>
    <t xml:space="preserve">V48 Output Current (Max) </t>
  </si>
  <si>
    <t>Occurs at V12=(V12_Max) and V48=(V48_Max)</t>
  </si>
  <si>
    <t>Number of Phase</t>
  </si>
  <si>
    <t>This is the number of phases that the total design will use</t>
  </si>
  <si>
    <t>W</t>
  </si>
  <si>
    <t>mOhm</t>
  </si>
  <si>
    <t>Spec Values</t>
  </si>
  <si>
    <t>Calculated Current Sense Resistor</t>
  </si>
  <si>
    <t>Calculated to have full load be 50mV</t>
  </si>
  <si>
    <t>Rcs</t>
  </si>
  <si>
    <t>Per phase Max Power current (based on RCS)</t>
  </si>
  <si>
    <t xml:space="preserve">V12 Output Current Per Phase </t>
  </si>
  <si>
    <t>I_Channel</t>
  </si>
  <si>
    <t>Variable</t>
  </si>
  <si>
    <t>Total Output Current</t>
  </si>
  <si>
    <t xml:space="preserve">Total Maximum Output Power </t>
  </si>
  <si>
    <t>Inductor  Calculations</t>
  </si>
  <si>
    <t>RT</t>
  </si>
  <si>
    <t>Oscilator set resistor Resistor</t>
  </si>
  <si>
    <t>Selected Ripple Ratio</t>
  </si>
  <si>
    <t>Conditions for worst case ripple</t>
  </si>
  <si>
    <t>Load Values where the Converter will enter DCM</t>
  </si>
  <si>
    <t>SS Voltage Threshold</t>
  </si>
  <si>
    <t>UVLO Calculations</t>
  </si>
  <si>
    <t>UVLO Enabled?</t>
  </si>
  <si>
    <t>UVLO Enable</t>
  </si>
  <si>
    <t>μC Input</t>
  </si>
  <si>
    <t>Resistor Divider</t>
  </si>
  <si>
    <t>UVLO Power Delivery Voltage</t>
  </si>
  <si>
    <t>Top Resistor Value</t>
  </si>
  <si>
    <t>Suggested Bottom Resistor</t>
  </si>
  <si>
    <t>Selected Bottom Resistor</t>
  </si>
  <si>
    <t>UVLO Shutdown Voltage</t>
  </si>
  <si>
    <t>UVLO Power Delivery Hystersis</t>
  </si>
  <si>
    <t>UVLO Release Hyst Current</t>
  </si>
  <si>
    <t>Selected Softstart Capacitor</t>
  </si>
  <si>
    <t>Actual Softstart Time</t>
  </si>
  <si>
    <t>Current Sense Voltage at Full load</t>
  </si>
  <si>
    <t>Selected IOUT Resistance</t>
  </si>
  <si>
    <t>IOUT MAX (Recommened to keep accuracy high)</t>
  </si>
  <si>
    <t>IOUT ranges</t>
  </si>
  <si>
    <t>Buck Mode Voltage Loop Transfer Functions</t>
  </si>
  <si>
    <t>V48 Max and V12Nom</t>
  </si>
  <si>
    <t xml:space="preserve">Maximum Per phase IL current (based on Selected RCS) </t>
  </si>
  <si>
    <t>Design Parameter for per phase current</t>
  </si>
  <si>
    <t>Typical Power Per Phase</t>
  </si>
  <si>
    <t>The 12V output power at full designed load and nominal 12V</t>
  </si>
  <si>
    <t>Maximum per phase power based on Rcs selection (Nominal 12V)</t>
  </si>
  <si>
    <t>Maximum total 12V Current based on Rcs selection</t>
  </si>
  <si>
    <t>Total output power based on Rcs selection</t>
  </si>
  <si>
    <t>Peak to Peak ripple Ratio based on full designed load parameter</t>
  </si>
  <si>
    <t>Based on Maximum per phase design parameter</t>
  </si>
  <si>
    <t>Maximmum Peak Current</t>
  </si>
  <si>
    <t xml:space="preserve">Selected Inductor Peak Current Limit </t>
  </si>
  <si>
    <t>Deisred  SS time</t>
  </si>
  <si>
    <t>Maximum IOUTx Voltage (VCS =50mV)</t>
  </si>
  <si>
    <t>Recommened IOUT Resistance (VCS = 50mV)</t>
  </si>
  <si>
    <t>Actual VIOUTx at full load (VCS=50mV)</t>
  </si>
  <si>
    <t>Actual VIOUTx at no-load (VCS = 0mV)</t>
  </si>
  <si>
    <t>Suggested CIOUT</t>
  </si>
  <si>
    <t>Selected CIOUT</t>
  </si>
  <si>
    <t>based to set the RIOUT and CIOUT delay time to 100us</t>
  </si>
  <si>
    <t>Corner Frequency of RIOUT and CIOUT</t>
  </si>
  <si>
    <t>Ripple on VIOUT at full Load</t>
  </si>
  <si>
    <t>0 = MCU input, 1 = Normal Resistor Divider</t>
  </si>
  <si>
    <t>UVLO Hysterisis</t>
  </si>
  <si>
    <t>Dead Time Calculations</t>
  </si>
  <si>
    <t>Dead Time Configuration</t>
  </si>
  <si>
    <t>Adaptive</t>
  </si>
  <si>
    <t>Programed</t>
  </si>
  <si>
    <t>Selected Dead Time Type</t>
  </si>
  <si>
    <t>0=Adaptive, 1 = Programed</t>
  </si>
  <si>
    <t>Programed dead time</t>
  </si>
  <si>
    <t>Dead Time Off Set</t>
  </si>
  <si>
    <t>Cacluated Dead Time Resistor</t>
  </si>
  <si>
    <t>Selected Deatd Time Resistor</t>
  </si>
  <si>
    <t>LO falling to HO Rising Dead Time</t>
  </si>
  <si>
    <t>HO falling to LO Rising Dead Time</t>
  </si>
  <si>
    <t>Dead Time Adaptive LO to HO</t>
  </si>
  <si>
    <t>Dead Time Adaptive HO to LO</t>
  </si>
  <si>
    <t>LO falling to HO rising Dead-Time</t>
  </si>
  <si>
    <t>HO falling to LO rising Dead-Time</t>
  </si>
  <si>
    <t>0 = Nominal Hysteresis, 1 = Programable Hysteresis</t>
  </si>
  <si>
    <t>Increased Hysteresis Selected?</t>
  </si>
  <si>
    <t>Selected Amount of Hysteresis</t>
  </si>
  <si>
    <t>Selected Amount Of Hysteresis</t>
  </si>
  <si>
    <t>Cacluated Rhysteresis Resistor</t>
  </si>
  <si>
    <t>Selected Rhysteresis Value</t>
  </si>
  <si>
    <t>UVLO Power Delivery Voltage Rising Edge</t>
  </si>
  <si>
    <t>UVLO Power Delivery Voltage Falling Edge</t>
  </si>
  <si>
    <t>Flag if not between 15ns and 200ns as specified in the ROC of the Datasheet</t>
  </si>
  <si>
    <t>Dead Time Prog Min Value</t>
  </si>
  <si>
    <t>Dead Time Prog Max Value</t>
  </si>
  <si>
    <t>Path Resistance</t>
  </si>
  <si>
    <t>mΩ</t>
  </si>
  <si>
    <t>Inner Loop Simple Compensation</t>
  </si>
  <si>
    <t>Current Loop Power Plant Pole Location</t>
  </si>
  <si>
    <t>Kff</t>
  </si>
  <si>
    <t>1/V</t>
  </si>
  <si>
    <t>DC Gain of Current Power Plant</t>
  </si>
  <si>
    <t>Suggested Loop Crossover Frequency</t>
  </si>
  <si>
    <t>Selected Crossover Frequency</t>
  </si>
  <si>
    <t>Calculated RCOMP</t>
  </si>
  <si>
    <t>Selected RCOMP</t>
  </si>
  <si>
    <t>Calculated CCOMP</t>
  </si>
  <si>
    <t>Selected CCOMP</t>
  </si>
  <si>
    <t>Calculated CHF</t>
  </si>
  <si>
    <t>Selected CHF</t>
  </si>
  <si>
    <t>Suggested Compensation Zero</t>
  </si>
  <si>
    <t>Compensation Zero Location</t>
  </si>
  <si>
    <t>Compensation Pole Location</t>
  </si>
  <si>
    <t xml:space="preserve">Simple Current Loop Calcualtion </t>
  </si>
  <si>
    <t>Based on Datasheet Caclualtion Method</t>
  </si>
  <si>
    <t>Power Plant Function</t>
  </si>
  <si>
    <t>Complex Impedence</t>
  </si>
  <si>
    <t>Gain</t>
  </si>
  <si>
    <t>Phase</t>
  </si>
  <si>
    <t>Error Amp</t>
  </si>
  <si>
    <t>Closed Current Loop</t>
  </si>
  <si>
    <t>Typical Application Schematic</t>
  </si>
  <si>
    <t>Current Range/ Number of Phases</t>
  </si>
  <si>
    <t>2. Inductor Selection</t>
  </si>
  <si>
    <t>ABOUT</t>
  </si>
  <si>
    <t>Terms of Use</t>
  </si>
  <si>
    <t>Inductor Peak Current Limit</t>
  </si>
  <si>
    <t>Margin above Peak Current</t>
  </si>
  <si>
    <t>4. Output Capacitance</t>
  </si>
  <si>
    <t>Power Stage Pol</t>
  </si>
  <si>
    <t>Error Amp Zero</t>
  </si>
  <si>
    <t>Error Amp Pole</t>
  </si>
  <si>
    <t>RAD</t>
  </si>
  <si>
    <t>Impedance</t>
  </si>
  <si>
    <t>5. Soft-Start</t>
  </si>
  <si>
    <t>COMP1/COMP2</t>
  </si>
  <si>
    <r>
      <t>Selected Low-Side Resistor (R</t>
    </r>
    <r>
      <rPr>
        <vertAlign val="subscript"/>
        <sz val="11"/>
        <color theme="1"/>
        <rFont val="Calibri"/>
        <family val="2"/>
        <scheme val="minor"/>
      </rPr>
      <t>UVLO2</t>
    </r>
    <r>
      <rPr>
        <sz val="11"/>
        <color theme="1"/>
        <rFont val="Calibri"/>
        <family val="2"/>
        <scheme val="minor"/>
      </rPr>
      <t>)</t>
    </r>
  </si>
  <si>
    <r>
      <t>Selected High-Side Resistor (R</t>
    </r>
    <r>
      <rPr>
        <vertAlign val="subscript"/>
        <sz val="11"/>
        <color theme="1"/>
        <rFont val="Calibri"/>
        <family val="2"/>
        <scheme val="minor"/>
      </rPr>
      <t>UVLO1</t>
    </r>
    <r>
      <rPr>
        <sz val="11"/>
        <color theme="1"/>
        <rFont val="Calibri"/>
        <family val="2"/>
        <scheme val="minor"/>
      </rPr>
      <t>)</t>
    </r>
  </si>
  <si>
    <t>Additional</t>
  </si>
  <si>
    <r>
      <t>Calculated Hysteresis Resistor (R</t>
    </r>
    <r>
      <rPr>
        <vertAlign val="subscript"/>
        <sz val="11"/>
        <color theme="1"/>
        <rFont val="Calibri"/>
        <family val="2"/>
        <scheme val="minor"/>
      </rPr>
      <t>UVLO3</t>
    </r>
    <r>
      <rPr>
        <sz val="11"/>
        <color theme="1"/>
        <rFont val="Calibri"/>
        <family val="2"/>
        <scheme val="minor"/>
      </rPr>
      <t>)</t>
    </r>
  </si>
  <si>
    <r>
      <t>Selected Hysteresis Resistor (R</t>
    </r>
    <r>
      <rPr>
        <vertAlign val="subscript"/>
        <sz val="11"/>
        <color theme="1"/>
        <rFont val="Calibri"/>
        <family val="2"/>
        <scheme val="minor"/>
      </rPr>
      <t>UVLO3</t>
    </r>
    <r>
      <rPr>
        <sz val="11"/>
        <color theme="1"/>
        <rFont val="Calibri"/>
        <family val="2"/>
        <scheme val="minor"/>
      </rPr>
      <t>)</t>
    </r>
  </si>
  <si>
    <t>UVLO Hysteresis</t>
  </si>
  <si>
    <t>UVLO Hysteresis Type</t>
  </si>
  <si>
    <t>UVLO Release Voltage Rising Edge</t>
  </si>
  <si>
    <t>Selected UVLO Release Voltage</t>
  </si>
  <si>
    <t>UVLO Latch Voltage Falling Edge</t>
  </si>
  <si>
    <t>High Voltage Input Parameters</t>
  </si>
  <si>
    <t>Selected Switching Frequency</t>
  </si>
  <si>
    <t>LV Port Minimum Voltage</t>
  </si>
  <si>
    <t>LV Port Nominal Voltage</t>
  </si>
  <si>
    <t>LV Port Maximum Voltage</t>
  </si>
  <si>
    <t>HV Port Minimum Voltage</t>
  </si>
  <si>
    <t>HV Port Nominal Voltage</t>
  </si>
  <si>
    <t>HV Port Maximum Voltage</t>
  </si>
  <si>
    <t>Need to Add flags for input voltage range</t>
  </si>
  <si>
    <t>Low Voltage Port</t>
  </si>
  <si>
    <t>High Voltage Port</t>
  </si>
  <si>
    <t>Low Voltage Capacitance ESR</t>
  </si>
  <si>
    <t>High Voltage Capacitance ESR</t>
  </si>
  <si>
    <t>Selected Programmed Dead Time</t>
  </si>
  <si>
    <r>
      <t>Selected Dead Time Resistor (R</t>
    </r>
    <r>
      <rPr>
        <vertAlign val="subscript"/>
        <sz val="11"/>
        <color theme="1"/>
        <rFont val="Calibri"/>
        <family val="2"/>
        <scheme val="minor"/>
      </rPr>
      <t>DT</t>
    </r>
    <r>
      <rPr>
        <sz val="11"/>
        <color theme="1"/>
        <rFont val="Calibri"/>
        <family val="2"/>
        <scheme val="minor"/>
      </rPr>
      <t>)</t>
    </r>
  </si>
  <si>
    <r>
      <t>Compensation Pole Location (F</t>
    </r>
    <r>
      <rPr>
        <vertAlign val="subscript"/>
        <sz val="11"/>
        <color theme="1"/>
        <rFont val="Calibri"/>
        <family val="2"/>
        <scheme val="minor"/>
      </rPr>
      <t>Pcomp</t>
    </r>
    <r>
      <rPr>
        <sz val="11"/>
        <color theme="1"/>
        <rFont val="Calibri"/>
        <family val="2"/>
        <scheme val="minor"/>
      </rPr>
      <t>)</t>
    </r>
  </si>
  <si>
    <t>V48_Min to V12_NOM</t>
  </si>
  <si>
    <t>V12_Min to V48_Nom</t>
  </si>
  <si>
    <t>V12_Nom to V48_Nom</t>
  </si>
  <si>
    <t>V12_Max to V48_Nom</t>
  </si>
  <si>
    <t>V48_Nom to V12_Max (Inductor AVG Current)</t>
  </si>
  <si>
    <t>V48_Nom to V12_Max (Current Sense Voltage)</t>
  </si>
  <si>
    <t>V48_Nom to V12_Min (Inductor AVG Current)</t>
  </si>
  <si>
    <t>V48_Nom to V12_Min (Current Sense Voltage)</t>
  </si>
  <si>
    <t>Duty Cycle</t>
  </si>
  <si>
    <t>DCM Boundary</t>
  </si>
  <si>
    <t>V48 Nom / V12 Min</t>
  </si>
  <si>
    <t>Current Loop</t>
  </si>
  <si>
    <t>Voltage Loop</t>
  </si>
  <si>
    <t>Feedforward Gain</t>
  </si>
  <si>
    <t>Current Sense Gain</t>
  </si>
  <si>
    <t>Constants</t>
  </si>
  <si>
    <t>ISETA to VO</t>
  </si>
  <si>
    <t>Boost Mode Voltage Loop Transfer Functions</t>
  </si>
  <si>
    <t>Voltage Loop Error Amp</t>
  </si>
  <si>
    <t>Current Loop Error Amp</t>
  </si>
  <si>
    <t>Total Loop</t>
  </si>
  <si>
    <t>Boost Mode RHP Zero</t>
  </si>
  <si>
    <t>Boost Mode Low Frequency Pole</t>
  </si>
  <si>
    <t>Selected Boost Mode Crossover Frequnecy</t>
  </si>
  <si>
    <t>Suggest Boost Mode Crossover Frequnecy</t>
  </si>
  <si>
    <t>Type II Compensation Design</t>
  </si>
  <si>
    <t>Simplified system based on assuming that the inductor is an ideal current source</t>
  </si>
  <si>
    <t>Output impedance at full load</t>
  </si>
  <si>
    <t>Boost Crossover Frequency</t>
  </si>
  <si>
    <t>Modulator Gain at Selected Crossover Frequency</t>
  </si>
  <si>
    <t>dB</t>
  </si>
  <si>
    <t>Load Resistance</t>
  </si>
  <si>
    <t>Buck Mode Low Frequency Pole</t>
  </si>
  <si>
    <t>Suggest that the cross over frequency be 1/5 of the RHP Zero</t>
  </si>
  <si>
    <t>Calculated Rcomp</t>
  </si>
  <si>
    <t>Suggested Zero Location</t>
  </si>
  <si>
    <t>Just set this a switching frequency</t>
  </si>
  <si>
    <t>Suggested Pole Location</t>
  </si>
  <si>
    <t>Selected Top Feedback Resistor</t>
  </si>
  <si>
    <t>Selected Bottom Feedback Resistor</t>
  </si>
  <si>
    <t>Selected Rcomp Value</t>
  </si>
  <si>
    <t>Selected Ccomp Value</t>
  </si>
  <si>
    <t>Calculated Ccomp value</t>
  </si>
  <si>
    <t>Calculated Chf Value</t>
  </si>
  <si>
    <t>Selected CHF value</t>
  </si>
  <si>
    <t>F</t>
  </si>
  <si>
    <t>Suggested Crossover Frequency</t>
  </si>
  <si>
    <t>Selected Reference Voltage</t>
  </si>
  <si>
    <t>Calculated Top Feedback Resistor</t>
  </si>
  <si>
    <t>Actual Zero Location</t>
  </si>
  <si>
    <t>Actual Pole Location</t>
  </si>
  <si>
    <t>Assuming that the current loop gain is large enough. Simple equation</t>
  </si>
  <si>
    <t>Buck Mode High Frequency Zero</t>
  </si>
  <si>
    <t>Suggest Buck Mode Crossover Frequnecy</t>
  </si>
  <si>
    <t>Selected Buck Mode Crossover Frequnecy</t>
  </si>
  <si>
    <t>ESR Zero Location</t>
  </si>
  <si>
    <t>Set the Cross over Frequency to 1/10 of the selected current loop crossover frequency</t>
  </si>
  <si>
    <t>Buck Crossover Frequency</t>
  </si>
  <si>
    <t>Current Loop Error Armp</t>
  </si>
  <si>
    <t>ISETA to VOUT Plant</t>
  </si>
  <si>
    <t>Compensator Zero</t>
  </si>
  <si>
    <t>Compensator Pole</t>
  </si>
  <si>
    <t>Plant Low Frequency Pole</t>
  </si>
  <si>
    <t>Compensation Zero</t>
  </si>
  <si>
    <t>Compensation Pole</t>
  </si>
  <si>
    <t xml:space="preserve">Low Frequency Pole </t>
  </si>
  <si>
    <t xml:space="preserve">RHP Zero </t>
  </si>
  <si>
    <t>Buck Mode Type II Compensation</t>
  </si>
  <si>
    <t>Boost Mode Type II Compensation</t>
  </si>
  <si>
    <t>7. Undervoltage Protection</t>
  </si>
  <si>
    <r>
      <t>Calculated High-Side Resistor (R</t>
    </r>
    <r>
      <rPr>
        <vertAlign val="subscript"/>
        <sz val="11"/>
        <color theme="1"/>
        <rFont val="Calibri"/>
        <family val="2"/>
        <scheme val="minor"/>
      </rPr>
      <t>UVLO1</t>
    </r>
    <r>
      <rPr>
        <sz val="11"/>
        <color theme="1"/>
        <rFont val="Calibri"/>
        <family val="2"/>
        <scheme val="minor"/>
      </rPr>
      <t>)</t>
    </r>
  </si>
  <si>
    <r>
      <t>Calculated Dead Time Resistor (R</t>
    </r>
    <r>
      <rPr>
        <vertAlign val="subscript"/>
        <sz val="11"/>
        <color theme="1"/>
        <rFont val="Calibri"/>
        <family val="2"/>
        <scheme val="minor"/>
      </rPr>
      <t>DT</t>
    </r>
    <r>
      <rPr>
        <sz val="11"/>
        <color theme="1"/>
        <rFont val="Calibri"/>
        <family val="2"/>
        <scheme val="minor"/>
      </rPr>
      <t>)</t>
    </r>
  </si>
  <si>
    <t xml:space="preserve">1. Design Parameters </t>
  </si>
  <si>
    <t xml:space="preserve">                              LM5171 Bi-Directional DC/DC Converter Design Tool</t>
  </si>
  <si>
    <t>Km = 1/Vpk = 32/V48</t>
  </si>
  <si>
    <t>Suggested Compensation Pole Location</t>
  </si>
  <si>
    <t>Max ISET voltage for pk limit</t>
  </si>
  <si>
    <t>Feedback Gain</t>
  </si>
  <si>
    <t>Output pole by load effect</t>
  </si>
  <si>
    <t>Power plant gain at Fco</t>
  </si>
  <si>
    <t>Voltage loop DC gain</t>
  </si>
  <si>
    <t>Suggested Rcomp</t>
  </si>
  <si>
    <t>Selected Rcomp</t>
  </si>
  <si>
    <t>Suggested Ccomp</t>
  </si>
  <si>
    <t>Selected Ccomp</t>
  </si>
  <si>
    <t>Suggested Chf</t>
  </si>
  <si>
    <t>Selected Chf</t>
  </si>
  <si>
    <t>pF</t>
  </si>
  <si>
    <r>
      <t>Compensation Zero Location (F</t>
    </r>
    <r>
      <rPr>
        <vertAlign val="subscript"/>
        <sz val="11"/>
        <rFont val="Calibri"/>
        <family val="2"/>
        <scheme val="minor"/>
      </rPr>
      <t>Zcomp</t>
    </r>
    <r>
      <rPr>
        <sz val="11"/>
        <rFont val="Calibri"/>
        <family val="2"/>
        <scheme val="minor"/>
      </rPr>
      <t>)</t>
    </r>
  </si>
  <si>
    <r>
      <t>Compensation Pole Location (F</t>
    </r>
    <r>
      <rPr>
        <vertAlign val="subscript"/>
        <sz val="11"/>
        <rFont val="Calibri"/>
        <family val="2"/>
        <scheme val="minor"/>
      </rPr>
      <t>Pcomp</t>
    </r>
    <r>
      <rPr>
        <sz val="11"/>
        <rFont val="Calibri"/>
        <family val="2"/>
        <scheme val="minor"/>
      </rPr>
      <t>)</t>
    </r>
  </si>
  <si>
    <t>ISET Divider Gain</t>
  </si>
  <si>
    <t>V48 Output Current</t>
  </si>
  <si>
    <t>V48 Output Current Per Phase</t>
  </si>
  <si>
    <r>
      <t>Oscillator Set Resistor (R</t>
    </r>
    <r>
      <rPr>
        <vertAlign val="subscript"/>
        <sz val="11"/>
        <rFont val="Calibri"/>
        <family val="2"/>
        <scheme val="minor"/>
      </rPr>
      <t>OSC</t>
    </r>
    <r>
      <rPr>
        <sz val="11"/>
        <rFont val="Calibri"/>
        <family val="2"/>
        <scheme val="minor"/>
      </rPr>
      <t>)</t>
    </r>
  </si>
  <si>
    <r>
      <t>Calculated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</si>
  <si>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t>Maximum Average Inductor Current Per Channel</t>
  </si>
  <si>
    <t>Peak-to-Peak Ripple Ratio</t>
  </si>
  <si>
    <t>Note that buck and boost share the same current ripple equation given the same HV and LV, but their worst case is different</t>
  </si>
  <si>
    <t>Worst case (requrie high L) buck mode</t>
  </si>
  <si>
    <t>Worst case (requrie high L) boost mode</t>
  </si>
  <si>
    <t>Calculated worst case inductor</t>
  </si>
  <si>
    <t>Calculated Inductance Value</t>
  </si>
  <si>
    <t>Calculated inductor based on full load  design parameters, Nominal V12 and Maximum V48 Voltages, max V48 gives higher calculated inductance</t>
  </si>
  <si>
    <t>Maximum Ripple Current in buck mode</t>
  </si>
  <si>
    <t>Maximum Ripple Current in boost mode</t>
  </si>
  <si>
    <t>Maximum Peak Current in boost mode</t>
  </si>
  <si>
    <t>Maximum Peak Current in buck mode</t>
  </si>
  <si>
    <t>Just for internal information, max ripple does not mean max peak</t>
  </si>
  <si>
    <t>Ripple Current in boost mode at Vin_min</t>
  </si>
  <si>
    <t>I.e. the inductor current</t>
  </si>
  <si>
    <t>Maximum Inductor Peak Current</t>
  </si>
  <si>
    <t>Current Limit Margin Above Maximum Inductor Current</t>
  </si>
  <si>
    <t>Selected Inductor Peak Current Limit</t>
  </si>
  <si>
    <t>Calculated Inductor Peak Current Limit</t>
  </si>
  <si>
    <t xml:space="preserve">Calculated Inductor Peak Current Limit </t>
  </si>
  <si>
    <t>Calculated Peak Current Limit based on the selected margin</t>
  </si>
  <si>
    <t>Directly selected Peak Current Limit by the user</t>
  </si>
  <si>
    <t>Calculated SS Voltage</t>
  </si>
  <si>
    <r>
      <t>Selected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</si>
  <si>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r>
      <t>Selected Inductance Value (L</t>
    </r>
    <r>
      <rPr>
        <vertAlign val="subscript"/>
        <sz val="11"/>
        <rFont val="Calibri"/>
        <family val="2"/>
        <scheme val="minor"/>
      </rPr>
      <t>M1</t>
    </r>
    <r>
      <rPr>
        <sz val="11"/>
        <rFont val="Calibri"/>
        <family val="2"/>
        <scheme val="minor"/>
      </rPr>
      <t>,L</t>
    </r>
    <r>
      <rPr>
        <vertAlign val="subscript"/>
        <sz val="11"/>
        <rFont val="Calibri"/>
        <family val="2"/>
        <scheme val="minor"/>
      </rPr>
      <t>M2</t>
    </r>
    <r>
      <rPr>
        <sz val="11"/>
        <rFont val="Calibri"/>
        <family val="2"/>
        <scheme val="minor"/>
      </rPr>
      <t>)</t>
    </r>
  </si>
  <si>
    <r>
      <t>Selected Low Voltage Port Capacitance (C</t>
    </r>
    <r>
      <rPr>
        <vertAlign val="subscript"/>
        <sz val="11"/>
        <rFont val="Calibri"/>
        <family val="2"/>
        <scheme val="minor"/>
      </rPr>
      <t>OUT_LV</t>
    </r>
    <r>
      <rPr>
        <sz val="11"/>
        <rFont val="Calibri"/>
        <family val="2"/>
        <scheme val="minor"/>
      </rPr>
      <t>)</t>
    </r>
  </si>
  <si>
    <r>
      <t>Selected High Voltage Port Capacitance (C</t>
    </r>
    <r>
      <rPr>
        <vertAlign val="subscript"/>
        <sz val="11"/>
        <rFont val="Calibri"/>
        <family val="2"/>
        <scheme val="minor"/>
      </rPr>
      <t>OUT_HV</t>
    </r>
    <r>
      <rPr>
        <sz val="11"/>
        <rFont val="Calibri"/>
        <family val="2"/>
        <scheme val="minor"/>
      </rPr>
      <t>)</t>
    </r>
  </si>
  <si>
    <r>
      <t>Suggested Loop Crossover Frequency (F</t>
    </r>
    <r>
      <rPr>
        <vertAlign val="subscript"/>
        <sz val="11"/>
        <rFont val="Calibri"/>
        <family val="2"/>
        <scheme val="minor"/>
      </rPr>
      <t>CO</t>
    </r>
    <r>
      <rPr>
        <sz val="11"/>
        <rFont val="Calibri"/>
        <family val="2"/>
        <scheme val="minor"/>
      </rPr>
      <t>)</t>
    </r>
  </si>
  <si>
    <r>
      <t>Selected Loop Crossover Frequency (F</t>
    </r>
    <r>
      <rPr>
        <vertAlign val="subscript"/>
        <sz val="11"/>
        <rFont val="Calibri"/>
        <family val="2"/>
        <scheme val="minor"/>
      </rPr>
      <t>CO</t>
    </r>
    <r>
      <rPr>
        <sz val="11"/>
        <rFont val="Calibri"/>
        <family val="2"/>
        <scheme val="minor"/>
      </rPr>
      <t>)</t>
    </r>
  </si>
  <si>
    <r>
      <t>Calculated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</si>
  <si>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Selected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</si>
  <si>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Calculated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</si>
  <si>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Selected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</si>
  <si>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Calculated C</t>
    </r>
    <r>
      <rPr>
        <vertAlign val="subscript"/>
        <sz val="11"/>
        <rFont val="Calibri"/>
        <family val="2"/>
        <scheme val="minor"/>
      </rPr>
      <t>HF1</t>
    </r>
    <r>
      <rPr>
        <sz val="11"/>
        <rFont val="Calibri"/>
        <family val="2"/>
        <scheme val="minor"/>
      </rPr>
      <t>, C</t>
    </r>
    <r>
      <rPr>
        <vertAlign val="subscript"/>
        <sz val="11"/>
        <rFont val="Calibri"/>
        <family val="2"/>
        <scheme val="minor"/>
      </rPr>
      <t>HF2</t>
    </r>
  </si>
  <si>
    <r>
      <t>Selected C</t>
    </r>
    <r>
      <rPr>
        <vertAlign val="subscript"/>
        <sz val="11"/>
        <rFont val="Calibri"/>
        <family val="2"/>
        <scheme val="minor"/>
      </rPr>
      <t>HF1</t>
    </r>
    <r>
      <rPr>
        <sz val="11"/>
        <rFont val="Calibri"/>
        <family val="2"/>
        <scheme val="minor"/>
      </rPr>
      <t>, C</t>
    </r>
    <r>
      <rPr>
        <vertAlign val="subscript"/>
        <sz val="11"/>
        <rFont val="Calibri"/>
        <family val="2"/>
        <scheme val="minor"/>
      </rPr>
      <t>HF2</t>
    </r>
  </si>
  <si>
    <r>
      <t>Calculated R</t>
    </r>
    <r>
      <rPr>
        <vertAlign val="subscript"/>
        <sz val="11"/>
        <rFont val="Calibri"/>
        <family val="2"/>
        <scheme val="minor"/>
      </rPr>
      <t>COMP Buck</t>
    </r>
  </si>
  <si>
    <r>
      <t>Selected R</t>
    </r>
    <r>
      <rPr>
        <vertAlign val="subscript"/>
        <sz val="11"/>
        <rFont val="Calibri"/>
        <family val="2"/>
        <scheme val="minor"/>
      </rPr>
      <t>COMP Buck</t>
    </r>
  </si>
  <si>
    <r>
      <t>Calculated C</t>
    </r>
    <r>
      <rPr>
        <vertAlign val="subscript"/>
        <sz val="11"/>
        <rFont val="Calibri"/>
        <family val="2"/>
        <scheme val="minor"/>
      </rPr>
      <t>COMP Buck</t>
    </r>
  </si>
  <si>
    <r>
      <t>Selected C</t>
    </r>
    <r>
      <rPr>
        <vertAlign val="subscript"/>
        <sz val="11"/>
        <rFont val="Calibri"/>
        <family val="2"/>
        <scheme val="minor"/>
      </rPr>
      <t>COMP Buck</t>
    </r>
  </si>
  <si>
    <r>
      <t>Calculated C</t>
    </r>
    <r>
      <rPr>
        <vertAlign val="subscript"/>
        <sz val="11"/>
        <rFont val="Calibri"/>
        <family val="2"/>
        <scheme val="minor"/>
      </rPr>
      <t>HF Buck</t>
    </r>
  </si>
  <si>
    <r>
      <t>Selected C</t>
    </r>
    <r>
      <rPr>
        <vertAlign val="subscript"/>
        <sz val="11"/>
        <rFont val="Calibri"/>
        <family val="2"/>
        <scheme val="minor"/>
      </rPr>
      <t>HF Buck</t>
    </r>
  </si>
  <si>
    <r>
      <t>Calculated R</t>
    </r>
    <r>
      <rPr>
        <vertAlign val="subscript"/>
        <sz val="11"/>
        <rFont val="Calibri"/>
        <family val="2"/>
        <scheme val="minor"/>
      </rPr>
      <t>COMP Boost</t>
    </r>
  </si>
  <si>
    <r>
      <t>Selected R</t>
    </r>
    <r>
      <rPr>
        <vertAlign val="subscript"/>
        <sz val="11"/>
        <rFont val="Calibri"/>
        <family val="2"/>
        <scheme val="minor"/>
      </rPr>
      <t>COMP Boost</t>
    </r>
  </si>
  <si>
    <r>
      <t>Calculated C</t>
    </r>
    <r>
      <rPr>
        <vertAlign val="subscript"/>
        <sz val="11"/>
        <rFont val="Calibri"/>
        <family val="2"/>
        <scheme val="minor"/>
      </rPr>
      <t>COMP Boost</t>
    </r>
  </si>
  <si>
    <r>
      <t>Selected C</t>
    </r>
    <r>
      <rPr>
        <vertAlign val="subscript"/>
        <sz val="11"/>
        <rFont val="Calibri"/>
        <family val="2"/>
        <scheme val="minor"/>
      </rPr>
      <t>COMP Boost</t>
    </r>
  </si>
  <si>
    <r>
      <t>Calculated C</t>
    </r>
    <r>
      <rPr>
        <vertAlign val="subscript"/>
        <sz val="11"/>
        <rFont val="Calibri"/>
        <family val="2"/>
        <scheme val="minor"/>
      </rPr>
      <t>HF Boost</t>
    </r>
  </si>
  <si>
    <r>
      <t>Selected C</t>
    </r>
    <r>
      <rPr>
        <vertAlign val="subscript"/>
        <sz val="11"/>
        <rFont val="Calibri"/>
        <family val="2"/>
        <scheme val="minor"/>
      </rPr>
      <t>HF Boost</t>
    </r>
  </si>
  <si>
    <r>
      <t xml:space="preserve">Buck Mode Loop Compensation </t>
    </r>
    <r>
      <rPr>
        <b/>
        <sz val="11"/>
        <rFont val="Calibri"/>
        <family val="2"/>
        <scheme val="minor"/>
      </rPr>
      <t>Simple Method</t>
    </r>
  </si>
  <si>
    <t xml:space="preserve">Buck Mode Loop Compensation (LM5170 method) </t>
  </si>
  <si>
    <t>Boost Mode Voltage Loop Compensation (LM5170 method)</t>
  </si>
  <si>
    <r>
      <t xml:space="preserve">BoostMode Loop Compensation </t>
    </r>
    <r>
      <rPr>
        <b/>
        <sz val="11"/>
        <rFont val="Calibri"/>
        <family val="2"/>
        <scheme val="minor"/>
      </rPr>
      <t>Simple Method</t>
    </r>
  </si>
  <si>
    <t>Version Number</t>
  </si>
  <si>
    <t>1.0.0</t>
  </si>
  <si>
    <t>Version History</t>
  </si>
  <si>
    <t>Version</t>
  </si>
  <si>
    <t>Change List Description</t>
  </si>
  <si>
    <t>Initial Release</t>
  </si>
  <si>
    <t>Normal UVLO</t>
  </si>
  <si>
    <t>Additional Hysteresis</t>
  </si>
  <si>
    <t>Microcontroller Input</t>
  </si>
  <si>
    <t>IMON1/ IMON2</t>
  </si>
  <si>
    <t>Flag if &gt;3V</t>
  </si>
  <si>
    <r>
      <t>Calculated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</si>
  <si>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Selected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</si>
  <si>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V</t>
    </r>
    <r>
      <rPr>
        <vertAlign val="subscript"/>
        <sz val="11"/>
        <color theme="1"/>
        <rFont val="Calibri"/>
        <family val="2"/>
        <scheme val="minor"/>
      </rPr>
      <t>IMON</t>
    </r>
    <r>
      <rPr>
        <sz val="11"/>
        <color theme="1"/>
        <rFont val="Calibri"/>
        <family val="2"/>
        <scheme val="minor"/>
      </rPr>
      <t xml:space="preserve"> at Full Load (V</t>
    </r>
    <r>
      <rPr>
        <vertAlign val="subscript"/>
        <sz val="11"/>
        <color theme="1"/>
        <rFont val="Calibri"/>
        <family val="2"/>
        <scheme val="minor"/>
      </rPr>
      <t>RCS</t>
    </r>
    <r>
      <rPr>
        <sz val="11"/>
        <color theme="1"/>
        <rFont val="Calibri"/>
        <family val="2"/>
        <scheme val="minor"/>
      </rPr>
      <t xml:space="preserve"> = 50mV)</t>
    </r>
  </si>
  <si>
    <r>
      <t>V</t>
    </r>
    <r>
      <rPr>
        <vertAlign val="subscript"/>
        <sz val="11"/>
        <color theme="1"/>
        <rFont val="Calibri"/>
        <family val="2"/>
        <scheme val="minor"/>
      </rPr>
      <t>IMON</t>
    </r>
    <r>
      <rPr>
        <sz val="11"/>
        <color theme="1"/>
        <rFont val="Calibri"/>
        <family val="2"/>
        <scheme val="minor"/>
      </rPr>
      <t xml:space="preserve"> at No Load (V</t>
    </r>
    <r>
      <rPr>
        <vertAlign val="subscript"/>
        <sz val="11"/>
        <color theme="1"/>
        <rFont val="Calibri"/>
        <family val="2"/>
        <scheme val="minor"/>
      </rPr>
      <t>RCS</t>
    </r>
    <r>
      <rPr>
        <sz val="11"/>
        <color theme="1"/>
        <rFont val="Calibri"/>
        <family val="2"/>
        <scheme val="minor"/>
      </rPr>
      <t xml:space="preserve"> = 0mV)</t>
    </r>
  </si>
  <si>
    <r>
      <t>Calculated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</si>
  <si>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Selected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</si>
  <si>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Delta V</t>
    </r>
    <r>
      <rPr>
        <vertAlign val="subscript"/>
        <sz val="11"/>
        <color theme="1"/>
        <rFont val="Calibri"/>
        <family val="2"/>
        <scheme val="minor"/>
      </rPr>
      <t xml:space="preserve">IMON </t>
    </r>
    <r>
      <rPr>
        <sz val="11"/>
        <color theme="1"/>
        <rFont val="Calibri"/>
        <family val="2"/>
        <scheme val="minor"/>
      </rPr>
      <t>at Full Load</t>
    </r>
  </si>
  <si>
    <r>
      <t>R</t>
    </r>
    <r>
      <rPr>
        <vertAlign val="subscript"/>
        <sz val="11"/>
        <color theme="1"/>
        <rFont val="Calibri"/>
        <family val="2"/>
        <scheme val="minor"/>
      </rPr>
      <t>IMON</t>
    </r>
    <r>
      <rPr>
        <sz val="11"/>
        <color theme="1"/>
        <rFont val="Calibri"/>
        <family val="2"/>
        <scheme val="minor"/>
      </rPr>
      <t xml:space="preserve"> C</t>
    </r>
    <r>
      <rPr>
        <vertAlign val="subscript"/>
        <sz val="11"/>
        <color theme="1"/>
        <rFont val="Calibri"/>
        <family val="2"/>
        <scheme val="minor"/>
      </rPr>
      <t>IMON</t>
    </r>
    <r>
      <rPr>
        <sz val="11"/>
        <color theme="1"/>
        <rFont val="Calibri"/>
        <family val="2"/>
        <scheme val="minor"/>
      </rPr>
      <t xml:space="preserve"> Corner Frequency</t>
    </r>
  </si>
  <si>
    <t>Adaptive Dead Time</t>
  </si>
  <si>
    <t>Programmed Dead Time</t>
  </si>
  <si>
    <t>A/V</t>
  </si>
  <si>
    <t xml:space="preserve">V12 Input Current Per Phase (Boost) </t>
  </si>
  <si>
    <t>Place zero at 0.2 fco</t>
  </si>
  <si>
    <t>fco</t>
  </si>
  <si>
    <t>Place pole at 3 fco</t>
  </si>
  <si>
    <t>Calucated Voltage at IPK Pin</t>
  </si>
  <si>
    <t>Select reference voltage for IPK Pin</t>
  </si>
  <si>
    <t>Suggested RIPKB</t>
  </si>
  <si>
    <t>Suggested RIPKT</t>
  </si>
  <si>
    <t>Selected RIPKB</t>
  </si>
  <si>
    <t>Selected RIPKT</t>
  </si>
  <si>
    <t>Actual VIPK</t>
  </si>
  <si>
    <t xml:space="preserve">Actual Inductor Peak Current Limit </t>
  </si>
  <si>
    <t>3. Inductor Peak Current Limiting</t>
  </si>
  <si>
    <r>
      <t>R</t>
    </r>
    <r>
      <rPr>
        <b/>
        <vertAlign val="subscript"/>
        <sz val="11"/>
        <color theme="1"/>
        <rFont val="Calibri"/>
        <family val="2"/>
        <scheme val="minor"/>
      </rPr>
      <t>ISETB</t>
    </r>
    <r>
      <rPr>
        <b/>
        <sz val="11"/>
        <color theme="1"/>
        <rFont val="Calibri"/>
        <family val="2"/>
        <scheme val="minor"/>
      </rPr>
      <t>/R</t>
    </r>
    <r>
      <rPr>
        <b/>
        <vertAlign val="subscript"/>
        <sz val="11"/>
        <color theme="1"/>
        <rFont val="Calibri"/>
        <family val="2"/>
        <scheme val="minor"/>
      </rPr>
      <t>ISETT</t>
    </r>
  </si>
  <si>
    <t>Output Voltage Soft Start</t>
  </si>
  <si>
    <t>Selected Output Voltage Soft-Start Time</t>
  </si>
  <si>
    <t>Current Soft Start</t>
  </si>
  <si>
    <r>
      <t>Selected Reference Voltage (V</t>
    </r>
    <r>
      <rPr>
        <vertAlign val="subscript"/>
        <sz val="11"/>
        <rFont val="Calibri"/>
        <family val="2"/>
        <scheme val="minor"/>
      </rPr>
      <t>VSET</t>
    </r>
    <r>
      <rPr>
        <sz val="11"/>
        <rFont val="Calibri"/>
        <family val="2"/>
        <scheme val="minor"/>
      </rPr>
      <t>)</t>
    </r>
  </si>
  <si>
    <r>
      <t>Selected R</t>
    </r>
    <r>
      <rPr>
        <vertAlign val="subscript"/>
        <sz val="11"/>
        <color theme="1"/>
        <rFont val="Calibri"/>
        <family val="2"/>
        <scheme val="minor"/>
      </rPr>
      <t>VSETT</t>
    </r>
  </si>
  <si>
    <r>
      <t>Suggested R</t>
    </r>
    <r>
      <rPr>
        <vertAlign val="subscript"/>
        <sz val="11"/>
        <color theme="1"/>
        <rFont val="Calibri"/>
        <family val="2"/>
        <scheme val="minor"/>
      </rPr>
      <t>VSETB</t>
    </r>
  </si>
  <si>
    <r>
      <t>Selected R</t>
    </r>
    <r>
      <rPr>
        <vertAlign val="subscript"/>
        <sz val="11"/>
        <color theme="1"/>
        <rFont val="Calibri"/>
        <family val="2"/>
        <scheme val="minor"/>
      </rPr>
      <t>VSETB</t>
    </r>
  </si>
  <si>
    <r>
      <t>Suggested R</t>
    </r>
    <r>
      <rPr>
        <vertAlign val="subscript"/>
        <sz val="11"/>
        <color theme="1"/>
        <rFont val="Calibri"/>
        <family val="2"/>
        <scheme val="minor"/>
      </rPr>
      <t>VSETT</t>
    </r>
  </si>
  <si>
    <r>
      <t>Suggested C</t>
    </r>
    <r>
      <rPr>
        <vertAlign val="subscript"/>
        <sz val="11"/>
        <color theme="1"/>
        <rFont val="Calibri"/>
        <family val="2"/>
        <scheme val="minor"/>
      </rPr>
      <t>VSET</t>
    </r>
  </si>
  <si>
    <r>
      <t>Selected C</t>
    </r>
    <r>
      <rPr>
        <vertAlign val="subscript"/>
        <sz val="11"/>
        <color theme="1"/>
        <rFont val="Calibri"/>
        <family val="2"/>
        <scheme val="minor"/>
      </rPr>
      <t>VSET</t>
    </r>
  </si>
  <si>
    <t>Soft start time</t>
  </si>
  <si>
    <t>Select reference voltage for VSET Pin</t>
  </si>
  <si>
    <r>
      <t>Selected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</si>
  <si>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CC</t>
  </si>
  <si>
    <t>CV</t>
  </si>
  <si>
    <t>CC or CV?</t>
  </si>
  <si>
    <t>0 = CV, 1 = CC</t>
  </si>
  <si>
    <r>
      <t>Suggested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</si>
  <si>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Constant Voltage(CV) or Constant Current(CC) control</t>
  </si>
  <si>
    <t>Internal VREF</t>
  </si>
  <si>
    <t>DT/SD</t>
  </si>
  <si>
    <t>Normal</t>
  </si>
  <si>
    <t>OVP Caculations</t>
  </si>
  <si>
    <t>Suggested ROVPB</t>
  </si>
  <si>
    <t>Selected ROVPB</t>
  </si>
  <si>
    <t>Suggested ROVPT</t>
  </si>
  <si>
    <t>Selected ROVPT</t>
  </si>
  <si>
    <t>Deisred OVP voltage</t>
  </si>
  <si>
    <t>Actual OVP voltage</t>
  </si>
  <si>
    <t>OVP Threshold</t>
  </si>
  <si>
    <t>8. Overvoltage Protection</t>
  </si>
  <si>
    <t>OVP</t>
  </si>
  <si>
    <t>CFG</t>
  </si>
  <si>
    <t>0.649 or 0.665</t>
  </si>
  <si>
    <t>1.10 or 1.13</t>
  </si>
  <si>
    <t>1.65 or 1.69</t>
  </si>
  <si>
    <t>2.43 or 2.49</t>
  </si>
  <si>
    <t>3.32 or 3.40</t>
  </si>
  <si>
    <t>4.53 or 4.64</t>
  </si>
  <si>
    <t>6.65 or 6.81</t>
  </si>
  <si>
    <t>10.2 or 10.5</t>
  </si>
  <si>
    <t>18.7 or 19.1</t>
  </si>
  <si>
    <t>26.1 or 26.7</t>
  </si>
  <si>
    <t>37.4 or 38.3</t>
  </si>
  <si>
    <t>60.4 or 61.9</t>
  </si>
  <si>
    <t>95.3 or 97.6</t>
  </si>
  <si>
    <t>13.7 or 14.0</t>
  </si>
  <si>
    <t>0.316 or 0.324</t>
  </si>
  <si>
    <t>&lt;0.1</t>
  </si>
  <si>
    <t>I2C Adress</t>
  </si>
  <si>
    <t>IMON</t>
  </si>
  <si>
    <t>0x0</t>
  </si>
  <si>
    <t>0x1</t>
  </si>
  <si>
    <t>0x2</t>
  </si>
  <si>
    <t>0x3</t>
  </si>
  <si>
    <t>0x4</t>
  </si>
  <si>
    <t>0x5</t>
  </si>
  <si>
    <t>0x6</t>
  </si>
  <si>
    <t>0x7</t>
  </si>
  <si>
    <t>OPT</t>
  </si>
  <si>
    <t>180°</t>
  </si>
  <si>
    <t>240°</t>
  </si>
  <si>
    <t>9. Channel Current Monitoring</t>
  </si>
  <si>
    <t>10. MOSFET Dead Time Selection</t>
  </si>
  <si>
    <t>11. CFG Resistor Selection and OPT</t>
  </si>
  <si>
    <t>12. Current Loop Compensation</t>
  </si>
  <si>
    <r>
      <t>13. Select R</t>
    </r>
    <r>
      <rPr>
        <b/>
        <vertAlign val="subscript"/>
        <sz val="14"/>
        <color rgb="FF0070C0"/>
        <rFont val="Calibri"/>
        <family val="2"/>
        <scheme val="minor"/>
      </rPr>
      <t xml:space="preserve">ISETB </t>
    </r>
    <r>
      <rPr>
        <b/>
        <sz val="14"/>
        <color rgb="FF0070C0"/>
        <rFont val="Calibri"/>
        <family val="2"/>
        <scheme val="minor"/>
      </rPr>
      <t>and R</t>
    </r>
    <r>
      <rPr>
        <b/>
        <vertAlign val="subscript"/>
        <sz val="14"/>
        <color rgb="FF0070C0"/>
        <rFont val="Calibri"/>
        <family val="2"/>
        <scheme val="minor"/>
      </rPr>
      <t>ISETT</t>
    </r>
    <r>
      <rPr>
        <b/>
        <sz val="14"/>
        <color rgb="FF0070C0"/>
        <rFont val="Calibri"/>
        <family val="2"/>
        <scheme val="minor"/>
      </rPr>
      <t xml:space="preserve"> (Shared by Buck and Boost)</t>
    </r>
  </si>
  <si>
    <t>14. Buck Mode Voltage Loop Compensation</t>
  </si>
  <si>
    <t>15. Boost Mode Voltage Loop Compensation</t>
  </si>
  <si>
    <t>Set OPT to</t>
  </si>
  <si>
    <r>
      <t>Selected VSET Voltage (V</t>
    </r>
    <r>
      <rPr>
        <vertAlign val="subscript"/>
        <sz val="11"/>
        <rFont val="Calibri"/>
        <family val="2"/>
        <scheme val="minor"/>
      </rPr>
      <t>VSET</t>
    </r>
    <r>
      <rPr>
        <sz val="11"/>
        <rFont val="Calibri"/>
        <family val="2"/>
        <scheme val="minor"/>
      </rPr>
      <t>)</t>
    </r>
  </si>
  <si>
    <t>Select voltage divider input for VSET</t>
  </si>
  <si>
    <t>Select voltage divider input for IPK</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</si>
  <si>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</si>
  <si>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Calucated IPK Voltage (V</t>
    </r>
    <r>
      <rPr>
        <vertAlign val="subscript"/>
        <sz val="11"/>
        <rFont val="Calibri"/>
        <family val="2"/>
        <scheme val="minor"/>
      </rPr>
      <t>IPK</t>
    </r>
    <r>
      <rPr>
        <sz val="11"/>
        <rFont val="Calibri"/>
        <family val="2"/>
        <scheme val="minor"/>
      </rPr>
      <t>)</t>
    </r>
  </si>
  <si>
    <r>
      <t>Suggested  Low-Side Resistor (R</t>
    </r>
    <r>
      <rPr>
        <vertAlign val="subscript"/>
        <sz val="11"/>
        <color theme="1"/>
        <rFont val="Calibri"/>
        <family val="2"/>
        <scheme val="minor"/>
      </rPr>
      <t>IPKB</t>
    </r>
    <r>
      <rPr>
        <sz val="11"/>
        <color theme="1"/>
        <rFont val="Calibri"/>
        <family val="2"/>
        <scheme val="minor"/>
      </rPr>
      <t>)</t>
    </r>
  </si>
  <si>
    <r>
      <t>Selected Low-Side Resistor (R</t>
    </r>
    <r>
      <rPr>
        <vertAlign val="subscript"/>
        <sz val="11"/>
        <color theme="1"/>
        <rFont val="Calibri"/>
        <family val="2"/>
        <scheme val="minor"/>
      </rPr>
      <t>IPKB</t>
    </r>
    <r>
      <rPr>
        <sz val="11"/>
        <color theme="1"/>
        <rFont val="Calibri"/>
        <family val="2"/>
        <scheme val="minor"/>
      </rPr>
      <t>)</t>
    </r>
  </si>
  <si>
    <r>
      <t>Suggested High-Side Resistor (R</t>
    </r>
    <r>
      <rPr>
        <vertAlign val="subscript"/>
        <sz val="11"/>
        <color theme="1"/>
        <rFont val="Calibri"/>
        <family val="2"/>
        <scheme val="minor"/>
      </rPr>
      <t>IPKT</t>
    </r>
    <r>
      <rPr>
        <sz val="11"/>
        <color theme="1"/>
        <rFont val="Calibri"/>
        <family val="2"/>
        <scheme val="minor"/>
      </rPr>
      <t>)</t>
    </r>
  </si>
  <si>
    <r>
      <t>Selected High-Side Resistor (R</t>
    </r>
    <r>
      <rPr>
        <vertAlign val="subscript"/>
        <sz val="11"/>
        <color theme="1"/>
        <rFont val="Calibri"/>
        <family val="2"/>
        <scheme val="minor"/>
      </rPr>
      <t>IPKT</t>
    </r>
    <r>
      <rPr>
        <sz val="11"/>
        <color theme="1"/>
        <rFont val="Calibri"/>
        <family val="2"/>
        <scheme val="minor"/>
      </rPr>
      <t>)</t>
    </r>
  </si>
  <si>
    <r>
      <t>Suggested Low-Side Resistor (R</t>
    </r>
    <r>
      <rPr>
        <vertAlign val="subscript"/>
        <sz val="11"/>
        <color theme="1"/>
        <rFont val="Calibri"/>
        <family val="2"/>
        <scheme val="minor"/>
      </rPr>
      <t>VSETB</t>
    </r>
    <r>
      <rPr>
        <sz val="11"/>
        <color theme="1"/>
        <rFont val="Calibri"/>
        <family val="2"/>
        <scheme val="minor"/>
      </rPr>
      <t>)</t>
    </r>
  </si>
  <si>
    <r>
      <t>Selected Low-Side Resistor  (R</t>
    </r>
    <r>
      <rPr>
        <vertAlign val="subscript"/>
        <sz val="11"/>
        <color theme="1"/>
        <rFont val="Calibri"/>
        <family val="2"/>
        <scheme val="minor"/>
      </rPr>
      <t>VSETB</t>
    </r>
    <r>
      <rPr>
        <sz val="11"/>
        <color theme="1"/>
        <rFont val="Calibri"/>
        <family val="2"/>
        <scheme val="minor"/>
      </rPr>
      <t>)</t>
    </r>
  </si>
  <si>
    <r>
      <t>Selected High-Side Resistor  (R</t>
    </r>
    <r>
      <rPr>
        <vertAlign val="subscript"/>
        <sz val="11"/>
        <color theme="1"/>
        <rFont val="Calibri"/>
        <family val="2"/>
        <scheme val="minor"/>
      </rPr>
      <t>VSETT</t>
    </r>
    <r>
      <rPr>
        <sz val="11"/>
        <color theme="1"/>
        <rFont val="Calibri"/>
        <family val="2"/>
        <scheme val="minor"/>
      </rPr>
      <t>)</t>
    </r>
  </si>
  <si>
    <r>
      <t>Suggested High-Side Resistor  (R</t>
    </r>
    <r>
      <rPr>
        <vertAlign val="subscript"/>
        <sz val="11"/>
        <color theme="1"/>
        <rFont val="Calibri"/>
        <family val="2"/>
        <scheme val="minor"/>
      </rPr>
      <t>VSETT</t>
    </r>
    <r>
      <rPr>
        <sz val="11"/>
        <color theme="1"/>
        <rFont val="Calibri"/>
        <family val="2"/>
        <scheme val="minor"/>
      </rPr>
      <t>)</t>
    </r>
  </si>
  <si>
    <r>
      <t>Suggested Output Voltage Soft-Start Capacitor (C</t>
    </r>
    <r>
      <rPr>
        <vertAlign val="subscript"/>
        <sz val="11"/>
        <color theme="1"/>
        <rFont val="Calibri"/>
        <family val="2"/>
        <scheme val="minor"/>
      </rPr>
      <t>VSET</t>
    </r>
    <r>
      <rPr>
        <sz val="11"/>
        <color theme="1"/>
        <rFont val="Calibri"/>
        <family val="2"/>
        <scheme val="minor"/>
      </rPr>
      <t>)</t>
    </r>
  </si>
  <si>
    <r>
      <t>Selected Output Voltage Soft-Start (C</t>
    </r>
    <r>
      <rPr>
        <vertAlign val="subscript"/>
        <sz val="11"/>
        <color theme="1"/>
        <rFont val="Calibri"/>
        <family val="2"/>
        <scheme val="minor"/>
      </rPr>
      <t>VSET</t>
    </r>
    <r>
      <rPr>
        <sz val="11"/>
        <color theme="1"/>
        <rFont val="Calibri"/>
        <family val="2"/>
        <scheme val="minor"/>
      </rPr>
      <t>)</t>
    </r>
  </si>
  <si>
    <t>Selected Current Soft-Start Time</t>
  </si>
  <si>
    <t>Actual Current Soft-Start Time</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</si>
  <si>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</si>
  <si>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t>Actual Output Voltage Soft Start Time</t>
  </si>
  <si>
    <r>
      <t>Actual IPK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</si>
  <si>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Suggested Low-Side Resistor (R</t>
    </r>
    <r>
      <rPr>
        <vertAlign val="subscript"/>
        <sz val="11"/>
        <color theme="1"/>
        <rFont val="Calibri"/>
        <family val="2"/>
        <scheme val="minor"/>
      </rPr>
      <t>OVPB</t>
    </r>
    <r>
      <rPr>
        <sz val="11"/>
        <color theme="1"/>
        <rFont val="Calibri"/>
        <family val="2"/>
        <scheme val="minor"/>
      </rPr>
      <t>)</t>
    </r>
  </si>
  <si>
    <t>Deisred OVP Trigger Voltage</t>
  </si>
  <si>
    <t>Actual OVP Trigger Voltage</t>
  </si>
  <si>
    <r>
      <t>Selected Bottom Feedback Resistor(R</t>
    </r>
    <r>
      <rPr>
        <vertAlign val="subscript"/>
        <sz val="11"/>
        <rFont val="Calibri"/>
        <family val="2"/>
        <scheme val="minor"/>
      </rPr>
      <t>FBB</t>
    </r>
    <r>
      <rPr>
        <sz val="11"/>
        <rFont val="Calibri"/>
        <family val="2"/>
        <scheme val="minor"/>
      </rPr>
      <t>)</t>
    </r>
  </si>
  <si>
    <r>
      <t>Suggested Top Feedback Resistor (R</t>
    </r>
    <r>
      <rPr>
        <vertAlign val="subscript"/>
        <sz val="11"/>
        <rFont val="Calibri"/>
        <family val="2"/>
        <scheme val="minor"/>
      </rPr>
      <t>FBT</t>
    </r>
    <r>
      <rPr>
        <sz val="11"/>
        <rFont val="Calibri"/>
        <family val="2"/>
        <scheme val="minor"/>
      </rPr>
      <t>)</t>
    </r>
  </si>
  <si>
    <r>
      <t>Selected Resistor Top Feedback Resistor (R</t>
    </r>
    <r>
      <rPr>
        <vertAlign val="subscript"/>
        <sz val="11"/>
        <rFont val="Calibri"/>
        <family val="2"/>
        <scheme val="minor"/>
      </rPr>
      <t>FBT</t>
    </r>
    <r>
      <rPr>
        <sz val="11"/>
        <rFont val="Calibri"/>
        <family val="2"/>
        <scheme val="minor"/>
      </rPr>
      <t>)</t>
    </r>
  </si>
  <si>
    <t>IMONx Calculations</t>
  </si>
  <si>
    <r>
      <t>Selected Low-Side Resistor (R</t>
    </r>
    <r>
      <rPr>
        <vertAlign val="subscript"/>
        <sz val="11"/>
        <color theme="1"/>
        <rFont val="Calibri"/>
        <family val="2"/>
        <scheme val="minor"/>
      </rPr>
      <t>OVPB</t>
    </r>
    <r>
      <rPr>
        <sz val="11"/>
        <color theme="1"/>
        <rFont val="Calibri"/>
        <family val="2"/>
        <scheme val="minor"/>
      </rPr>
      <t>)</t>
    </r>
  </si>
  <si>
    <r>
      <t>Suggested High-Side Resistor (R</t>
    </r>
    <r>
      <rPr>
        <vertAlign val="subscript"/>
        <sz val="11"/>
        <color theme="1"/>
        <rFont val="Calibri"/>
        <family val="2"/>
        <scheme val="minor"/>
      </rPr>
      <t>OVPT</t>
    </r>
    <r>
      <rPr>
        <sz val="11"/>
        <color theme="1"/>
        <rFont val="Calibri"/>
        <family val="2"/>
        <scheme val="minor"/>
      </rPr>
      <t>)</t>
    </r>
  </si>
  <si>
    <r>
      <t>Selected High-Side Resistor (R</t>
    </r>
    <r>
      <rPr>
        <vertAlign val="subscript"/>
        <sz val="11"/>
        <color theme="1"/>
        <rFont val="Calibri"/>
        <family val="2"/>
        <scheme val="minor"/>
      </rPr>
      <t>OVPT</t>
    </r>
    <r>
      <rPr>
        <sz val="11"/>
        <color theme="1"/>
        <rFont val="Calibri"/>
        <family val="2"/>
        <scheme val="minor"/>
      </rPr>
      <t>)</t>
    </r>
  </si>
  <si>
    <t>ISET Resistor Divider for max load deliver RISETT</t>
  </si>
  <si>
    <t>Suggested low side res RISETB</t>
  </si>
  <si>
    <t>Selected ISET low resistor RISETB</t>
  </si>
  <si>
    <t>Suggested high side RISETT</t>
  </si>
  <si>
    <t>Selected ISET high resistor RISETT</t>
  </si>
  <si>
    <r>
      <t>Selected ISET High-Side Resistor (R</t>
    </r>
    <r>
      <rPr>
        <vertAlign val="subscript"/>
        <sz val="11"/>
        <rFont val="Calibri"/>
        <family val="2"/>
        <scheme val="minor"/>
      </rPr>
      <t>ISETT</t>
    </r>
    <r>
      <rPr>
        <sz val="11"/>
        <rFont val="Calibri"/>
        <family val="2"/>
        <scheme val="minor"/>
      </rPr>
      <t>)</t>
    </r>
  </si>
  <si>
    <r>
      <t>Selected ISET Low-Side Resistor (R</t>
    </r>
    <r>
      <rPr>
        <vertAlign val="subscript"/>
        <sz val="11"/>
        <rFont val="Calibri"/>
        <family val="2"/>
        <scheme val="minor"/>
      </rPr>
      <t>ISETB</t>
    </r>
    <r>
      <rPr>
        <sz val="11"/>
        <rFont val="Calibri"/>
        <family val="2"/>
        <scheme val="minor"/>
      </rPr>
      <t>)</t>
    </r>
  </si>
  <si>
    <r>
      <t>Suggested  ISET Low-Side Resistor (R</t>
    </r>
    <r>
      <rPr>
        <vertAlign val="subscript"/>
        <sz val="11"/>
        <rFont val="Calibri"/>
        <family val="2"/>
        <scheme val="minor"/>
      </rPr>
      <t>ISETB</t>
    </r>
    <r>
      <rPr>
        <sz val="11"/>
        <rFont val="Calibri"/>
        <family val="2"/>
        <scheme val="minor"/>
      </rPr>
      <t>)</t>
    </r>
  </si>
  <si>
    <r>
      <t>Suggested ISET High-Side Resistor (R</t>
    </r>
    <r>
      <rPr>
        <vertAlign val="subscript"/>
        <sz val="11"/>
        <rFont val="Calibri"/>
        <family val="2"/>
        <scheme val="minor"/>
      </rPr>
      <t>ISETT</t>
    </r>
    <r>
      <rPr>
        <sz val="11"/>
        <rFont val="Calibri"/>
        <family val="2"/>
        <scheme val="minor"/>
      </rPr>
      <t>)</t>
    </r>
  </si>
  <si>
    <t>System Load Resistance</t>
  </si>
  <si>
    <t>VO/ISET</t>
  </si>
  <si>
    <t xml:space="preserve">crossover </t>
  </si>
  <si>
    <t>gain</t>
  </si>
  <si>
    <t>f</t>
  </si>
  <si>
    <t>p</t>
  </si>
  <si>
    <t>Maximum Low Voltage Port Current</t>
  </si>
  <si>
    <t>Low Voltage Port Parameters</t>
  </si>
  <si>
    <r>
      <t>Path Resistance (R</t>
    </r>
    <r>
      <rPr>
        <vertAlign val="subscript"/>
        <sz val="11"/>
        <rFont val="Calibri"/>
        <family val="2"/>
        <scheme val="minor"/>
      </rPr>
      <t>S</t>
    </r>
    <r>
      <rPr>
        <sz val="11"/>
        <rFont val="Calibri"/>
        <family val="2"/>
        <scheme val="minor"/>
      </rPr>
      <t>)</t>
    </r>
  </si>
  <si>
    <t>I_LV</t>
  </si>
  <si>
    <t>I_HV</t>
  </si>
  <si>
    <r>
      <t>Maximum V</t>
    </r>
    <r>
      <rPr>
        <vertAlign val="subscript"/>
        <sz val="11"/>
        <color theme="1"/>
        <rFont val="Calibri"/>
        <family val="2"/>
        <scheme val="minor"/>
      </rPr>
      <t>IMON</t>
    </r>
    <r>
      <rPr>
        <sz val="11"/>
        <color theme="1"/>
        <rFont val="Calibri"/>
        <family val="2"/>
        <scheme val="minor"/>
      </rPr>
      <t xml:space="preserve"> V</t>
    </r>
    <r>
      <rPr>
        <vertAlign val="subscript"/>
        <sz val="11"/>
        <color theme="1"/>
        <rFont val="Calibri"/>
        <family val="2"/>
        <scheme val="minor"/>
      </rPr>
      <t>RCS</t>
    </r>
    <r>
      <rPr>
        <sz val="11"/>
        <color theme="1"/>
        <rFont val="Calibri"/>
        <family val="2"/>
        <scheme val="minor"/>
      </rPr>
      <t xml:space="preserve"> = 50mV</t>
    </r>
  </si>
  <si>
    <r>
      <t>Selected I</t>
    </r>
    <r>
      <rPr>
        <vertAlign val="superscript"/>
        <sz val="11"/>
        <color theme="1"/>
        <rFont val="Calibri"/>
        <family val="2"/>
        <scheme val="minor"/>
      </rPr>
      <t>2</t>
    </r>
    <r>
      <rPr>
        <sz val="11"/>
        <color theme="1"/>
        <rFont val="Calibri"/>
        <family val="2"/>
        <scheme val="minor"/>
      </rPr>
      <t>C Adress</t>
    </r>
  </si>
  <si>
    <t>Selected IMON option</t>
  </si>
  <si>
    <t>Suggested interleaving phase angle</t>
  </si>
  <si>
    <r>
      <t>CFG Resistor Selection (R</t>
    </r>
    <r>
      <rPr>
        <vertAlign val="subscript"/>
        <sz val="11"/>
        <color theme="1"/>
        <rFont val="Calibri"/>
        <family val="2"/>
        <scheme val="minor"/>
      </rPr>
      <t>CFG</t>
    </r>
    <r>
      <rPr>
        <sz val="11"/>
        <color theme="1"/>
        <rFont val="Calibri"/>
        <family val="2"/>
        <scheme val="minor"/>
      </rPr>
      <t>, 1% Resistor, kΩ )</t>
    </r>
  </si>
  <si>
    <t>LOW</t>
  </si>
  <si>
    <t>HIGH</t>
  </si>
  <si>
    <t>Total LV Port Current</t>
  </si>
  <si>
    <t>Total HV Port Current in Boost Mode</t>
  </si>
  <si>
    <t>Useful links</t>
  </si>
  <si>
    <t>MOSFET power loss calculator for synchronous buck converter</t>
  </si>
  <si>
    <t>MOSFET power loss calculator for synchronous boost converter</t>
  </si>
  <si>
    <t>1.0.1</t>
  </si>
  <si>
    <r>
      <t>Corrected suggested boost mode voltage loop crossover frequency; Hide R</t>
    </r>
    <r>
      <rPr>
        <vertAlign val="subscript"/>
        <sz val="10"/>
        <color theme="1"/>
        <rFont val="Arial"/>
        <family val="2"/>
      </rPr>
      <t>UVLO3</t>
    </r>
    <r>
      <rPr>
        <sz val="10"/>
        <color theme="1"/>
        <rFont val="Arial"/>
        <family val="2"/>
      </rPr>
      <t xml:space="preserve"> calculation when selecting Normal for UVLO Hysteresis Type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</si>
</sst>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000"/>
    <numFmt numFmtId="167" formatCode="0.0000"/>
    <numFmt numFmtId="168" formatCode="0.00000"/>
  </numFmts>
  <fonts count="41">
    <font>
      <sz val="11"/>
      <color theme="1"/>
      <name val="Calibri"/>
      <family val="2"/>
      <scheme val="minor"/>
    </font>
    <font>
      <sz val="11"/>
      <color theme="1"/>
      <name val="Calibri"/>
      <family val="2"/>
    </font>
    <font>
      <sz val="9"/>
      <color indexed="81"/>
      <name val="Tahoma"/>
      <family val="2"/>
    </font>
    <font>
      <b/>
      <sz val="9"/>
      <color indexed="81"/>
      <name val="Tahoma"/>
      <family val="2"/>
    </font>
    <font>
      <sz val="24"/>
      <color theme="1"/>
      <name val="Calibri"/>
      <family val="2"/>
      <scheme val="minor"/>
    </font>
    <font>
      <b/>
      <sz val="14"/>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sz val="28"/>
      <color theme="0"/>
      <name val="Calibri"/>
      <family val="2"/>
      <scheme val="minor"/>
    </font>
    <font>
      <b/>
      <sz val="14"/>
      <color rgb="FF0070C0"/>
      <name val="Calibri"/>
      <family val="2"/>
      <scheme val="minor"/>
    </font>
    <font>
      <vertAlign val="subscript"/>
      <sz val="11"/>
      <color theme="1"/>
      <name val="Calibri"/>
      <family val="2"/>
      <scheme val="minor"/>
    </font>
    <font>
      <b/>
      <sz val="16"/>
      <color theme="1"/>
      <name val="Calibri"/>
      <family val="2"/>
      <scheme val="minor"/>
    </font>
    <font>
      <b/>
      <u/>
      <sz val="9"/>
      <color indexed="81"/>
      <name val="Tahoma"/>
      <family val="2"/>
    </font>
    <font>
      <b/>
      <vertAlign val="subscript"/>
      <sz val="9"/>
      <color indexed="81"/>
      <name val="Tahoma"/>
      <family val="2"/>
    </font>
    <font>
      <vertAlign val="subscript"/>
      <sz val="9"/>
      <color indexed="81"/>
      <name val="Tahoma"/>
      <family val="2"/>
    </font>
    <font>
      <u/>
      <sz val="9"/>
      <color indexed="81"/>
      <name val="Tahoma"/>
      <family val="2"/>
    </font>
    <font>
      <u/>
      <sz val="9"/>
      <color indexed="81"/>
      <name val="Calibri"/>
      <family val="2"/>
    </font>
    <font>
      <sz val="9"/>
      <color indexed="81"/>
      <name val="Calibri"/>
      <family val="2"/>
    </font>
    <font>
      <sz val="11"/>
      <name val="Calibri"/>
      <family val="2"/>
      <scheme val="minor"/>
    </font>
    <font>
      <b/>
      <sz val="11"/>
      <name val="Calibri"/>
      <family val="2"/>
      <scheme val="minor"/>
    </font>
    <font>
      <sz val="11"/>
      <color theme="0" tint="-0.499984740745262"/>
      <name val="Calibri"/>
      <family val="2"/>
      <scheme val="minor"/>
    </font>
    <font>
      <vertAlign val="subscript"/>
      <sz val="11"/>
      <name val="Calibri"/>
      <family val="2"/>
      <scheme val="minor"/>
    </font>
    <font>
      <sz val="9"/>
      <name val="Calibri"/>
      <family val="3"/>
      <charset val="134"/>
      <scheme val="minor"/>
    </font>
    <font>
      <sz val="11"/>
      <color theme="1"/>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sz val="10"/>
      <name val="Arial"/>
      <family val="2"/>
    </font>
    <font>
      <b/>
      <sz val="10"/>
      <color theme="0"/>
      <name val="Arial"/>
      <family val="2"/>
    </font>
    <font>
      <b/>
      <u/>
      <sz val="11"/>
      <color theme="10"/>
      <name val="Arial"/>
      <family val="2"/>
    </font>
    <font>
      <b/>
      <vertAlign val="subscript"/>
      <sz val="11"/>
      <color theme="1"/>
      <name val="Calibri"/>
      <family val="2"/>
      <scheme val="minor"/>
    </font>
    <font>
      <b/>
      <vertAlign val="subscript"/>
      <sz val="14"/>
      <color rgb="FF0070C0"/>
      <name val="Calibri"/>
      <family val="2"/>
      <scheme val="minor"/>
    </font>
    <font>
      <vertAlign val="superscript"/>
      <sz val="9"/>
      <color indexed="81"/>
      <name val="Tahoma"/>
      <family val="2"/>
    </font>
    <font>
      <b/>
      <vertAlign val="superscript"/>
      <sz val="9"/>
      <color indexed="81"/>
      <name val="Tahoma"/>
      <family val="2"/>
    </font>
    <font>
      <vertAlign val="superscript"/>
      <sz val="11"/>
      <color theme="1"/>
      <name val="Calibri"/>
      <family val="2"/>
      <scheme val="minor"/>
    </font>
    <font>
      <u/>
      <sz val="10"/>
      <color theme="10"/>
      <name val="Calibri"/>
      <family val="2"/>
      <scheme val="minor"/>
    </font>
    <font>
      <vertAlign val="subscript"/>
      <sz val="10"/>
      <color theme="1"/>
      <name val="Arial"/>
      <family val="2"/>
    </font>
  </fonts>
  <fills count="13">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DE0000"/>
        <bgColor indexed="64"/>
      </patternFill>
    </fill>
    <fill>
      <patternFill patternType="solid">
        <fgColor theme="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s>
  <cellStyleXfs count="4">
    <xf numFmtId="0" fontId="0" fillId="0" borderId="0"/>
    <xf numFmtId="0" fontId="25" fillId="0" borderId="0"/>
    <xf numFmtId="0" fontId="29" fillId="0" borderId="0" applyNumberFormat="0" applyFill="0" applyBorder="0" applyAlignment="0" applyProtection="0"/>
    <xf numFmtId="0" fontId="29" fillId="0" borderId="0" applyNumberFormat="0" applyFill="0" applyBorder="0" applyAlignment="0" applyProtection="0"/>
  </cellStyleXfs>
  <cellXfs count="330">
    <xf numFmtId="0" fontId="0" fillId="0" borderId="0" xfId="0"/>
    <xf numFmtId="0" fontId="0" fillId="0" borderId="1" xfId="0" applyBorder="1"/>
    <xf numFmtId="0" fontId="0" fillId="0" borderId="0" xfId="0" applyAlignment="1">
      <alignment horizontal="center" wrapText="1"/>
    </xf>
    <xf numFmtId="0" fontId="0" fillId="0" borderId="6" xfId="0" applyBorder="1" applyAlignment="1">
      <alignment horizontal="center" wrapText="1"/>
    </xf>
    <xf numFmtId="0" fontId="0" fillId="0" borderId="0" xfId="0" applyBorder="1" applyAlignment="1">
      <alignment horizontal="center" wrapText="1"/>
    </xf>
    <xf numFmtId="0" fontId="0" fillId="0" borderId="7" xfId="0" applyBorder="1" applyAlignment="1">
      <alignment horizontal="center" wrapText="1"/>
    </xf>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center" wrapText="1"/>
    </xf>
    <xf numFmtId="0" fontId="0" fillId="0" borderId="0" xfId="0" applyAlignment="1"/>
    <xf numFmtId="0" fontId="0" fillId="0" borderId="0" xfId="0" applyAlignment="1">
      <alignment wrapText="1"/>
    </xf>
    <xf numFmtId="0" fontId="0" fillId="0" borderId="0" xfId="0" applyAlignment="1">
      <alignment horizontal="center" vertical="center" wrapText="1"/>
    </xf>
    <xf numFmtId="0" fontId="0" fillId="0" borderId="28" xfId="0" applyBorder="1"/>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5" fontId="0" fillId="0" borderId="8" xfId="0" applyNumberFormat="1" applyBorder="1"/>
    <xf numFmtId="0" fontId="0" fillId="0" borderId="6" xfId="0" applyBorder="1"/>
    <xf numFmtId="0" fontId="0" fillId="0" borderId="29" xfId="0" applyBorder="1"/>
    <xf numFmtId="0" fontId="4" fillId="0" borderId="0" xfId="0" applyFont="1" applyAlignment="1"/>
    <xf numFmtId="0" fontId="4" fillId="0" borderId="0" xfId="0" applyFont="1" applyAlignment="1">
      <alignment horizontal="left" vertical="center"/>
    </xf>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left" vertical="center" wrapText="1"/>
    </xf>
    <xf numFmtId="0" fontId="0" fillId="5" borderId="0" xfId="0" applyFill="1"/>
    <xf numFmtId="0" fontId="0" fillId="6" borderId="0" xfId="0" applyFill="1"/>
    <xf numFmtId="0" fontId="0" fillId="2" borderId="0" xfId="0" applyFill="1"/>
    <xf numFmtId="0" fontId="0" fillId="7" borderId="0" xfId="0" applyFill="1"/>
    <xf numFmtId="0" fontId="0" fillId="0" borderId="9" xfId="0" applyBorder="1" applyAlignment="1">
      <alignment horizontal="left"/>
    </xf>
    <xf numFmtId="0" fontId="1" fillId="0" borderId="0" xfId="0" applyFont="1"/>
    <xf numFmtId="0" fontId="0" fillId="0" borderId="0" xfId="0" applyFill="1" applyBorder="1"/>
    <xf numFmtId="0" fontId="0" fillId="0" borderId="0" xfId="0" applyBorder="1" applyAlignment="1">
      <alignment horizontal="left"/>
    </xf>
    <xf numFmtId="0" fontId="0" fillId="0" borderId="0" xfId="0" applyAlignment="1">
      <alignment horizontal="left" wrapText="1"/>
    </xf>
    <xf numFmtId="0" fontId="0" fillId="5" borderId="1" xfId="0" applyFill="1" applyBorder="1" applyAlignment="1">
      <alignment horizontal="right"/>
    </xf>
    <xf numFmtId="0" fontId="0" fillId="6" borderId="1" xfId="0" applyFill="1" applyBorder="1" applyAlignment="1">
      <alignment horizontal="right"/>
    </xf>
    <xf numFmtId="48" fontId="0" fillId="2" borderId="1" xfId="0" applyNumberFormat="1" applyFill="1" applyBorder="1" applyAlignment="1">
      <alignment horizontal="right"/>
    </xf>
    <xf numFmtId="0" fontId="0" fillId="7" borderId="1" xfId="0" applyFill="1" applyBorder="1" applyAlignment="1">
      <alignment horizontal="right"/>
    </xf>
    <xf numFmtId="0" fontId="0" fillId="0" borderId="1" xfId="0" applyBorder="1" applyAlignment="1">
      <alignment horizontal="right"/>
    </xf>
    <xf numFmtId="2" fontId="0" fillId="6" borderId="1" xfId="0" applyNumberFormat="1" applyFill="1" applyBorder="1" applyAlignment="1">
      <alignment horizontal="right"/>
    </xf>
    <xf numFmtId="164" fontId="0" fillId="5" borderId="1" xfId="0" applyNumberFormat="1" applyFill="1" applyBorder="1" applyAlignment="1">
      <alignment horizontal="right"/>
    </xf>
    <xf numFmtId="164" fontId="0" fillId="6" borderId="1" xfId="0" applyNumberFormat="1" applyFill="1" applyBorder="1" applyAlignment="1">
      <alignment horizontal="right"/>
    </xf>
    <xf numFmtId="165" fontId="0" fillId="6" borderId="1" xfId="0" applyNumberFormat="1" applyFill="1" applyBorder="1" applyAlignment="1">
      <alignment horizontal="right"/>
    </xf>
    <xf numFmtId="166" fontId="0" fillId="6" borderId="1" xfId="0" applyNumberFormat="1" applyFill="1" applyBorder="1" applyAlignment="1">
      <alignment horizontal="right"/>
    </xf>
    <xf numFmtId="2" fontId="0" fillId="5" borderId="1" xfId="0" applyNumberFormat="1" applyFill="1" applyBorder="1" applyAlignment="1">
      <alignment horizontal="right"/>
    </xf>
    <xf numFmtId="2" fontId="0" fillId="0" borderId="1" xfId="0" applyNumberFormat="1" applyBorder="1" applyAlignment="1">
      <alignment horizontal="right"/>
    </xf>
    <xf numFmtId="167" fontId="0" fillId="6" borderId="1" xfId="0" applyNumberFormat="1" applyFill="1" applyBorder="1" applyAlignment="1">
      <alignment horizontal="right"/>
    </xf>
    <xf numFmtId="165" fontId="0" fillId="0" borderId="1" xfId="0" applyNumberFormat="1" applyBorder="1" applyAlignment="1">
      <alignment horizontal="right"/>
    </xf>
    <xf numFmtId="0" fontId="6" fillId="0" borderId="0" xfId="0" applyFont="1" applyAlignment="1">
      <alignment horizontal="left"/>
    </xf>
    <xf numFmtId="0" fontId="0" fillId="0" borderId="1" xfId="0" applyFill="1" applyBorder="1" applyAlignment="1">
      <alignment horizontal="left"/>
    </xf>
    <xf numFmtId="0" fontId="1" fillId="0" borderId="1" xfId="0" applyFont="1" applyFill="1" applyBorder="1" applyAlignment="1">
      <alignment horizontal="left"/>
    </xf>
    <xf numFmtId="0" fontId="0" fillId="0" borderId="1" xfId="0" applyBorder="1" applyAlignment="1">
      <alignment horizontal="left" vertical="center" wrapText="1"/>
    </xf>
    <xf numFmtId="2" fontId="0" fillId="0" borderId="1" xfId="0" applyNumberFormat="1"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168" fontId="0" fillId="0" borderId="1" xfId="0" applyNumberFormat="1" applyBorder="1"/>
    <xf numFmtId="0" fontId="7" fillId="0" borderId="0" xfId="0" applyFont="1" applyAlignment="1">
      <alignment horizontal="left"/>
    </xf>
    <xf numFmtId="0" fontId="0" fillId="0" borderId="13" xfId="0" applyBorder="1" applyAlignment="1">
      <alignment horizontal="left"/>
    </xf>
    <xf numFmtId="164" fontId="0" fillId="6" borderId="14" xfId="0" applyNumberFormat="1" applyFill="1" applyBorder="1" applyAlignment="1">
      <alignment horizontal="right"/>
    </xf>
    <xf numFmtId="0" fontId="0" fillId="0" borderId="15" xfId="0" applyBorder="1" applyAlignment="1">
      <alignment horizontal="left"/>
    </xf>
    <xf numFmtId="0" fontId="0" fillId="0" borderId="8" xfId="0" applyBorder="1" applyAlignment="1">
      <alignment horizontal="left"/>
    </xf>
    <xf numFmtId="0" fontId="0" fillId="0" borderId="10" xfId="0" applyBorder="1" applyAlignment="1">
      <alignment horizontal="left"/>
    </xf>
    <xf numFmtId="0" fontId="0" fillId="0" borderId="12" xfId="0" applyBorder="1" applyAlignment="1">
      <alignment horizontal="left"/>
    </xf>
    <xf numFmtId="0" fontId="0" fillId="0" borderId="0" xfId="0" applyFill="1" applyBorder="1" applyAlignment="1">
      <alignment horizontal="center" vertical="center" wrapText="1"/>
    </xf>
    <xf numFmtId="0" fontId="0" fillId="4" borderId="4" xfId="0" applyFill="1" applyBorder="1" applyAlignment="1"/>
    <xf numFmtId="0" fontId="0" fillId="0" borderId="0" xfId="0" applyFill="1" applyBorder="1" applyAlignment="1"/>
    <xf numFmtId="0" fontId="0" fillId="9" borderId="0" xfId="0" applyFill="1"/>
    <xf numFmtId="165" fontId="0" fillId="0" borderId="1" xfId="0" applyNumberFormat="1" applyBorder="1"/>
    <xf numFmtId="0" fontId="0" fillId="0" borderId="1" xfId="0" applyFill="1" applyBorder="1"/>
    <xf numFmtId="165" fontId="0" fillId="0" borderId="1" xfId="0" applyNumberFormat="1" applyFill="1" applyBorder="1"/>
    <xf numFmtId="0" fontId="0" fillId="0" borderId="28" xfId="0" applyBorder="1" applyAlignment="1">
      <alignment horizontal="center" vertical="center" wrapText="1"/>
    </xf>
    <xf numFmtId="0" fontId="0" fillId="0" borderId="28" xfId="0" applyFill="1" applyBorder="1"/>
    <xf numFmtId="0" fontId="0" fillId="0" borderId="8" xfId="0" applyBorder="1" applyAlignment="1">
      <alignment horizontal="center" vertical="center" wrapText="1"/>
    </xf>
    <xf numFmtId="0" fontId="0" fillId="0" borderId="9" xfId="0" applyBorder="1" applyAlignment="1">
      <alignment horizontal="center" vertical="center" wrapText="1"/>
    </xf>
    <xf numFmtId="165" fontId="0" fillId="0" borderId="8" xfId="0" applyNumberFormat="1" applyFill="1" applyBorder="1"/>
    <xf numFmtId="0" fontId="0" fillId="0" borderId="9" xfId="0" applyFill="1" applyBorder="1"/>
    <xf numFmtId="0" fontId="0" fillId="0" borderId="11" xfId="0" applyFill="1" applyBorder="1"/>
    <xf numFmtId="0" fontId="0" fillId="0" borderId="12" xfId="0" applyFill="1" applyBorder="1"/>
    <xf numFmtId="0" fontId="0" fillId="0" borderId="8" xfId="0" applyFill="1" applyBorder="1"/>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xf numFmtId="165" fontId="0" fillId="5" borderId="1" xfId="0" applyNumberFormat="1" applyFill="1" applyBorder="1"/>
    <xf numFmtId="0" fontId="0" fillId="5" borderId="11" xfId="0" applyFill="1" applyBorder="1"/>
    <xf numFmtId="0" fontId="0" fillId="5" borderId="12" xfId="0" applyFill="1" applyBorder="1"/>
    <xf numFmtId="0" fontId="0" fillId="5" borderId="8" xfId="0" applyFill="1" applyBorder="1"/>
    <xf numFmtId="0" fontId="0" fillId="5" borderId="10" xfId="0" applyFill="1" applyBorder="1"/>
    <xf numFmtId="0" fontId="0" fillId="0" borderId="37" xfId="0" applyFill="1" applyBorder="1"/>
    <xf numFmtId="0" fontId="0" fillId="0" borderId="32" xfId="0" applyFill="1" applyBorder="1"/>
    <xf numFmtId="165" fontId="0" fillId="0" borderId="38" xfId="0" applyNumberFormat="1" applyFill="1" applyBorder="1"/>
    <xf numFmtId="0" fontId="0" fillId="0" borderId="39" xfId="0" applyFill="1" applyBorder="1"/>
    <xf numFmtId="0" fontId="0" fillId="0" borderId="38" xfId="0" applyBorder="1"/>
    <xf numFmtId="165" fontId="0" fillId="0" borderId="38" xfId="0" applyNumberFormat="1" applyBorder="1"/>
    <xf numFmtId="0" fontId="0" fillId="0" borderId="38" xfId="0" applyFill="1" applyBorder="1"/>
    <xf numFmtId="164" fontId="0" fillId="0" borderId="1" xfId="0" applyNumberFormat="1" applyBorder="1" applyAlignment="1">
      <alignment horizontal="right"/>
    </xf>
    <xf numFmtId="165" fontId="0" fillId="0" borderId="1" xfId="0" applyNumberFormat="1" applyBorder="1" applyAlignment="1">
      <alignment horizontal="left"/>
    </xf>
    <xf numFmtId="165" fontId="0" fillId="5" borderId="1" xfId="0" applyNumberFormat="1" applyFill="1" applyBorder="1" applyAlignment="1">
      <alignment horizontal="right"/>
    </xf>
    <xf numFmtId="0" fontId="0" fillId="5" borderId="13" xfId="0" applyFill="1" applyBorder="1"/>
    <xf numFmtId="0" fontId="0" fillId="5" borderId="14" xfId="0" applyFill="1" applyBorder="1"/>
    <xf numFmtId="165" fontId="0" fillId="5" borderId="14" xfId="0" applyNumberFormat="1" applyFill="1" applyBorder="1"/>
    <xf numFmtId="0" fontId="0" fillId="0" borderId="14" xfId="0" applyFill="1" applyBorder="1"/>
    <xf numFmtId="0" fontId="0" fillId="0" borderId="15" xfId="0" applyFill="1" applyBorder="1"/>
    <xf numFmtId="165" fontId="0" fillId="5" borderId="11" xfId="0" applyNumberFormat="1" applyFill="1" applyBorder="1"/>
    <xf numFmtId="0" fontId="0" fillId="5" borderId="15" xfId="0" applyFill="1" applyBorder="1"/>
    <xf numFmtId="0" fontId="0" fillId="5" borderId="9" xfId="0" applyFill="1" applyBorder="1"/>
    <xf numFmtId="2" fontId="0" fillId="0" borderId="0" xfId="0" applyNumberFormat="1"/>
    <xf numFmtId="0" fontId="0" fillId="0" borderId="37" xfId="0" applyBorder="1"/>
    <xf numFmtId="2" fontId="0" fillId="0" borderId="6" xfId="0" applyNumberFormat="1" applyBorder="1"/>
    <xf numFmtId="0" fontId="0" fillId="10" borderId="6" xfId="0" applyFill="1" applyBorder="1" applyAlignment="1" applyProtection="1">
      <alignment horizontal="right"/>
      <protection hidden="1"/>
    </xf>
    <xf numFmtId="0" fontId="0" fillId="10" borderId="0" xfId="0" applyFill="1" applyBorder="1" applyProtection="1">
      <protection hidden="1"/>
    </xf>
    <xf numFmtId="0" fontId="0" fillId="10" borderId="0" xfId="0" applyFill="1" applyBorder="1" applyAlignment="1" applyProtection="1">
      <alignment vertical="center"/>
      <protection hidden="1"/>
    </xf>
    <xf numFmtId="0" fontId="0" fillId="10" borderId="35" xfId="0" applyFill="1" applyBorder="1" applyAlignment="1" applyProtection="1">
      <alignment vertical="center"/>
      <protection hidden="1"/>
    </xf>
    <xf numFmtId="0" fontId="0" fillId="10" borderId="6" xfId="0" applyFill="1" applyBorder="1" applyAlignment="1" applyProtection="1">
      <alignment horizontal="left"/>
      <protection hidden="1"/>
    </xf>
    <xf numFmtId="0" fontId="0" fillId="9" borderId="34" xfId="0" applyFill="1" applyBorder="1" applyProtection="1">
      <protection hidden="1"/>
    </xf>
    <xf numFmtId="0" fontId="8" fillId="10" borderId="0" xfId="0" applyFont="1" applyFill="1" applyBorder="1" applyProtection="1">
      <protection hidden="1"/>
    </xf>
    <xf numFmtId="0" fontId="8" fillId="10" borderId="0" xfId="0" applyFont="1" applyFill="1" applyBorder="1" applyAlignment="1" applyProtection="1">
      <alignment vertical="center"/>
      <protection hidden="1"/>
    </xf>
    <xf numFmtId="0" fontId="0" fillId="10" borderId="29" xfId="0" applyFill="1" applyBorder="1" applyAlignment="1" applyProtection="1">
      <alignment horizontal="right"/>
      <protection hidden="1"/>
    </xf>
    <xf numFmtId="0" fontId="0" fillId="10" borderId="27" xfId="0" applyFill="1" applyBorder="1" applyProtection="1">
      <protection hidden="1"/>
    </xf>
    <xf numFmtId="0" fontId="0" fillId="10" borderId="27" xfId="0" applyFill="1" applyBorder="1" applyAlignment="1" applyProtection="1">
      <alignment vertical="center"/>
      <protection hidden="1"/>
    </xf>
    <xf numFmtId="0" fontId="0" fillId="10" borderId="40" xfId="0" applyFill="1" applyBorder="1" applyAlignment="1" applyProtection="1">
      <alignment vertical="center"/>
      <protection hidden="1"/>
    </xf>
    <xf numFmtId="0" fontId="0" fillId="8" borderId="0" xfId="0" applyFill="1" applyAlignment="1" applyProtection="1">
      <alignment horizontal="right"/>
      <protection hidden="1"/>
    </xf>
    <xf numFmtId="0" fontId="0" fillId="8" borderId="0" xfId="0" applyFill="1" applyProtection="1">
      <protection hidden="1"/>
    </xf>
    <xf numFmtId="0" fontId="0" fillId="8" borderId="0" xfId="0" applyFill="1" applyBorder="1" applyProtection="1">
      <protection hidden="1"/>
    </xf>
    <xf numFmtId="0" fontId="0" fillId="8" borderId="0" xfId="0" applyFill="1" applyBorder="1" applyAlignment="1" applyProtection="1">
      <alignment vertical="center"/>
      <protection hidden="1"/>
    </xf>
    <xf numFmtId="0" fontId="0" fillId="8" borderId="35" xfId="0" applyFill="1" applyBorder="1" applyAlignment="1" applyProtection="1">
      <alignment vertical="center"/>
      <protection hidden="1"/>
    </xf>
    <xf numFmtId="0" fontId="11" fillId="8" borderId="0" xfId="0" applyFont="1" applyFill="1" applyBorder="1" applyAlignment="1" applyProtection="1">
      <alignment horizontal="left"/>
      <protection hidden="1"/>
    </xf>
    <xf numFmtId="0" fontId="9" fillId="8" borderId="0" xfId="0" applyFont="1" applyFill="1" applyBorder="1" applyAlignment="1" applyProtection="1">
      <alignment horizontal="center" vertical="center"/>
      <protection hidden="1"/>
    </xf>
    <xf numFmtId="0" fontId="0" fillId="8" borderId="6" xfId="0" applyFill="1" applyBorder="1" applyAlignment="1" applyProtection="1">
      <alignment horizontal="right"/>
      <protection hidden="1"/>
    </xf>
    <xf numFmtId="0" fontId="0" fillId="8" borderId="7" xfId="0" applyFill="1" applyBorder="1" applyProtection="1">
      <protection hidden="1"/>
    </xf>
    <xf numFmtId="0" fontId="0" fillId="8" borderId="29" xfId="0" applyFill="1" applyBorder="1" applyAlignment="1" applyProtection="1">
      <alignment horizontal="right"/>
      <protection hidden="1"/>
    </xf>
    <xf numFmtId="0" fontId="0" fillId="8" borderId="30" xfId="0" applyFill="1" applyBorder="1" applyProtection="1">
      <protection hidden="1"/>
    </xf>
    <xf numFmtId="0" fontId="0" fillId="8" borderId="0" xfId="0" applyFill="1" applyBorder="1" applyAlignment="1" applyProtection="1">
      <alignment horizontal="right"/>
      <protection hidden="1"/>
    </xf>
    <xf numFmtId="0" fontId="0" fillId="0" borderId="0" xfId="0" applyFill="1" applyBorder="1" applyProtection="1">
      <protection hidden="1"/>
    </xf>
    <xf numFmtId="0" fontId="0" fillId="8" borderId="27" xfId="0" applyFill="1" applyBorder="1" applyProtection="1">
      <protection hidden="1"/>
    </xf>
    <xf numFmtId="165" fontId="0" fillId="8" borderId="0" xfId="0" applyNumberFormat="1" applyFill="1" applyBorder="1" applyProtection="1">
      <protection hidden="1"/>
    </xf>
    <xf numFmtId="0" fontId="5" fillId="8" borderId="0" xfId="0" applyFont="1" applyFill="1" applyBorder="1" applyAlignment="1" applyProtection="1">
      <alignment horizontal="center"/>
      <protection hidden="1"/>
    </xf>
    <xf numFmtId="0" fontId="0" fillId="8" borderId="7" xfId="0" applyFill="1" applyBorder="1" applyAlignment="1" applyProtection="1">
      <alignment horizontal="center"/>
      <protection hidden="1"/>
    </xf>
    <xf numFmtId="48" fontId="0" fillId="8" borderId="0" xfId="0" applyNumberFormat="1" applyFill="1" applyProtection="1">
      <protection hidden="1"/>
    </xf>
    <xf numFmtId="2" fontId="0" fillId="8" borderId="27" xfId="0" applyNumberFormat="1" applyFill="1" applyBorder="1" applyProtection="1">
      <protection hidden="1"/>
    </xf>
    <xf numFmtId="2" fontId="0" fillId="8" borderId="0" xfId="0" applyNumberFormat="1" applyFill="1" applyBorder="1" applyProtection="1">
      <protection hidden="1"/>
    </xf>
    <xf numFmtId="0" fontId="0" fillId="8" borderId="7" xfId="0" applyFill="1" applyBorder="1" applyAlignment="1" applyProtection="1">
      <alignment horizontal="left"/>
      <protection hidden="1"/>
    </xf>
    <xf numFmtId="0" fontId="0" fillId="8" borderId="5" xfId="0" applyFill="1" applyBorder="1" applyProtection="1">
      <protection hidden="1"/>
    </xf>
    <xf numFmtId="0" fontId="0" fillId="8" borderId="35" xfId="0" applyFill="1" applyBorder="1" applyProtection="1">
      <protection hidden="1"/>
    </xf>
    <xf numFmtId="0" fontId="0" fillId="8" borderId="0" xfId="0" applyFill="1" applyAlignment="1" applyProtection="1">
      <protection hidden="1"/>
    </xf>
    <xf numFmtId="0" fontId="0" fillId="8" borderId="35" xfId="0" applyFill="1" applyBorder="1" applyAlignment="1" applyProtection="1">
      <protection hidden="1"/>
    </xf>
    <xf numFmtId="164" fontId="0" fillId="8" borderId="0" xfId="0" applyNumberFormat="1" applyFill="1" applyBorder="1" applyProtection="1">
      <protection hidden="1"/>
    </xf>
    <xf numFmtId="0" fontId="0" fillId="8" borderId="0" xfId="0"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0" xfId="0" applyFill="1" applyBorder="1" applyAlignment="1" applyProtection="1">
      <alignment horizontal="center" vertical="center"/>
      <protection hidden="1"/>
    </xf>
    <xf numFmtId="164" fontId="0" fillId="8" borderId="27" xfId="0" applyNumberFormat="1" applyFill="1" applyBorder="1" applyProtection="1">
      <protection hidden="1"/>
    </xf>
    <xf numFmtId="0" fontId="0" fillId="9" borderId="0" xfId="0" applyFill="1" applyBorder="1" applyProtection="1">
      <protection locked="0" hidden="1"/>
    </xf>
    <xf numFmtId="0" fontId="0" fillId="9" borderId="27" xfId="0" applyFill="1" applyBorder="1" applyProtection="1">
      <protection locked="0" hidden="1"/>
    </xf>
    <xf numFmtId="0" fontId="0" fillId="9" borderId="0" xfId="0" applyFill="1" applyBorder="1" applyAlignment="1" applyProtection="1">
      <alignment horizontal="right"/>
      <protection locked="0" hidden="1"/>
    </xf>
    <xf numFmtId="0" fontId="0" fillId="9" borderId="4" xfId="0" applyFill="1" applyBorder="1" applyProtection="1">
      <protection locked="0" hidden="1"/>
    </xf>
    <xf numFmtId="0" fontId="0" fillId="0" borderId="0" xfId="0" applyFill="1" applyBorder="1" applyAlignment="1">
      <alignment horizontal="center"/>
    </xf>
    <xf numFmtId="0" fontId="20" fillId="8" borderId="6" xfId="0" applyFont="1" applyFill="1" applyBorder="1" applyAlignment="1" applyProtection="1">
      <alignment horizontal="right"/>
      <protection hidden="1"/>
    </xf>
    <xf numFmtId="165" fontId="0" fillId="0" borderId="0" xfId="0" applyNumberFormat="1" applyBorder="1" applyAlignment="1">
      <alignment horizontal="right"/>
    </xf>
    <xf numFmtId="0" fontId="0" fillId="0" borderId="1" xfId="0" applyBorder="1" applyAlignment="1">
      <alignment wrapText="1"/>
    </xf>
    <xf numFmtId="0" fontId="20" fillId="0" borderId="1" xfId="0" applyFont="1" applyBorder="1" applyAlignment="1">
      <alignment horizontal="right"/>
    </xf>
    <xf numFmtId="0" fontId="20" fillId="0" borderId="0" xfId="0" applyFont="1" applyBorder="1" applyAlignment="1">
      <alignment horizontal="right"/>
    </xf>
    <xf numFmtId="1" fontId="0" fillId="8" borderId="0" xfId="0" applyNumberFormat="1" applyFill="1" applyBorder="1" applyProtection="1">
      <protection hidden="1"/>
    </xf>
    <xf numFmtId="0" fontId="20" fillId="8" borderId="29" xfId="0" applyFont="1" applyFill="1" applyBorder="1" applyAlignment="1" applyProtection="1">
      <alignment horizontal="right"/>
      <protection hidden="1"/>
    </xf>
    <xf numFmtId="0" fontId="21" fillId="0" borderId="1" xfId="0" applyFont="1" applyBorder="1" applyAlignment="1">
      <alignment horizontal="left"/>
    </xf>
    <xf numFmtId="0" fontId="7" fillId="0" borderId="1" xfId="0" applyFont="1" applyBorder="1" applyAlignment="1">
      <alignment horizontal="left"/>
    </xf>
    <xf numFmtId="0" fontId="0" fillId="0" borderId="41" xfId="0" applyBorder="1" applyAlignment="1">
      <alignment horizontal="center" vertical="center" wrapText="1"/>
    </xf>
    <xf numFmtId="0" fontId="0" fillId="0" borderId="0" xfId="0" applyAlignment="1">
      <alignment horizontal="center"/>
    </xf>
    <xf numFmtId="0" fontId="0" fillId="0" borderId="27" xfId="0" applyBorder="1" applyAlignment="1">
      <alignment horizontal="center"/>
    </xf>
    <xf numFmtId="0" fontId="20" fillId="0" borderId="1" xfId="0" applyFont="1" applyBorder="1" applyAlignment="1">
      <alignment horizontal="left"/>
    </xf>
    <xf numFmtId="0" fontId="0" fillId="8" borderId="6" xfId="0" applyFill="1" applyBorder="1" applyAlignment="1" applyProtection="1">
      <alignment horizontal="left"/>
      <protection hidden="1"/>
    </xf>
    <xf numFmtId="0" fontId="20" fillId="8" borderId="3" xfId="0" applyFont="1" applyFill="1" applyBorder="1" applyAlignment="1" applyProtection="1">
      <alignment horizontal="right"/>
      <protection hidden="1"/>
    </xf>
    <xf numFmtId="0" fontId="26" fillId="0" borderId="42" xfId="1" applyFont="1" applyBorder="1"/>
    <xf numFmtId="0" fontId="27" fillId="0" borderId="42" xfId="1" applyFont="1" applyBorder="1" applyAlignment="1">
      <alignment horizontal="center"/>
    </xf>
    <xf numFmtId="0" fontId="27" fillId="0" borderId="42" xfId="1" applyFont="1" applyBorder="1" applyAlignment="1">
      <alignment horizontal="left"/>
    </xf>
    <xf numFmtId="0" fontId="28" fillId="0" borderId="42" xfId="1" applyFont="1" applyBorder="1"/>
    <xf numFmtId="0" fontId="30" fillId="0" borderId="42" xfId="2" applyFont="1" applyFill="1" applyBorder="1" applyAlignment="1">
      <alignment vertical="center"/>
    </xf>
    <xf numFmtId="0" fontId="30" fillId="0" borderId="42" xfId="2" applyFont="1" applyFill="1" applyBorder="1" applyAlignment="1">
      <alignment horizontal="right" vertical="center"/>
    </xf>
    <xf numFmtId="0" fontId="26" fillId="0" borderId="42" xfId="1" applyFont="1" applyBorder="1" applyAlignment="1">
      <alignment horizontal="center"/>
    </xf>
    <xf numFmtId="0" fontId="26" fillId="0" borderId="42" xfId="1" applyFont="1" applyFill="1" applyBorder="1" applyAlignment="1">
      <alignment horizontal="left"/>
    </xf>
    <xf numFmtId="0" fontId="28" fillId="0" borderId="42" xfId="1" applyFont="1" applyBorder="1" applyAlignment="1">
      <alignment horizontal="center"/>
    </xf>
    <xf numFmtId="0" fontId="31" fillId="0" borderId="42" xfId="1" applyFont="1" applyFill="1" applyBorder="1" applyAlignment="1"/>
    <xf numFmtId="0" fontId="32" fillId="12" borderId="42" xfId="1" applyFont="1" applyFill="1" applyBorder="1" applyAlignment="1">
      <alignment horizontal="center"/>
    </xf>
    <xf numFmtId="0" fontId="33" fillId="0" borderId="42" xfId="2" applyFont="1" applyFill="1" applyBorder="1" applyAlignment="1">
      <alignment vertical="center"/>
    </xf>
    <xf numFmtId="0" fontId="26" fillId="0" borderId="42" xfId="1" applyFont="1" applyFill="1" applyBorder="1"/>
    <xf numFmtId="0" fontId="26" fillId="0" borderId="42" xfId="1" applyFont="1" applyBorder="1" applyAlignment="1">
      <alignment horizontal="left"/>
    </xf>
    <xf numFmtId="0" fontId="29" fillId="10" borderId="0" xfId="3" applyFill="1" applyBorder="1" applyAlignment="1" applyProtection="1">
      <alignment vertical="center"/>
      <protection hidden="1"/>
    </xf>
    <xf numFmtId="0" fontId="11" fillId="8" borderId="0" xfId="0" applyFont="1" applyFill="1" applyBorder="1" applyAlignment="1" applyProtection="1">
      <alignment horizontal="left" wrapText="1"/>
      <protection hidden="1"/>
    </xf>
    <xf numFmtId="0" fontId="0" fillId="0" borderId="0" xfId="0" applyFill="1" applyBorder="1" applyAlignment="1">
      <alignment horizontal="left"/>
    </xf>
    <xf numFmtId="0" fontId="0" fillId="9" borderId="4" xfId="0" applyFill="1" applyBorder="1" applyAlignment="1" applyProtection="1">
      <alignment horizontal="right"/>
      <protection locked="0" hidden="1"/>
    </xf>
    <xf numFmtId="0" fontId="0" fillId="8" borderId="5" xfId="0" applyFill="1" applyBorder="1" applyAlignment="1" applyProtection="1">
      <alignment horizontal="center"/>
      <protection hidden="1"/>
    </xf>
    <xf numFmtId="0" fontId="0" fillId="8" borderId="7" xfId="0" applyFill="1" applyBorder="1"/>
    <xf numFmtId="0" fontId="0" fillId="8" borderId="30" xfId="0" applyFill="1" applyBorder="1"/>
    <xf numFmtId="0" fontId="0" fillId="0" borderId="29" xfId="0" applyBorder="1" applyAlignment="1">
      <alignment horizontal="right"/>
    </xf>
    <xf numFmtId="0" fontId="0" fillId="8" borderId="3" xfId="0" applyFill="1" applyBorder="1" applyAlignment="1" applyProtection="1">
      <alignment horizontal="right"/>
      <protection hidden="1"/>
    </xf>
    <xf numFmtId="0" fontId="0" fillId="6" borderId="11" xfId="0" applyFill="1" applyBorder="1" applyAlignment="1">
      <alignment horizontal="right"/>
    </xf>
    <xf numFmtId="0" fontId="22" fillId="0" borderId="8" xfId="0" applyFont="1" applyBorder="1" applyAlignment="1">
      <alignment horizontal="left"/>
    </xf>
    <xf numFmtId="0" fontId="20" fillId="0" borderId="8" xfId="0" applyFont="1" applyBorder="1" applyAlignment="1">
      <alignment horizontal="left"/>
    </xf>
    <xf numFmtId="0" fontId="0" fillId="0" borderId="6" xfId="0" applyBorder="1" applyAlignment="1">
      <alignment horizontal="left"/>
    </xf>
    <xf numFmtId="0" fontId="0" fillId="5" borderId="0" xfId="0" applyFill="1" applyBorder="1" applyAlignment="1">
      <alignment horizontal="right"/>
    </xf>
    <xf numFmtId="0" fontId="0" fillId="0" borderId="7" xfId="0" applyBorder="1" applyAlignment="1">
      <alignment horizontal="left"/>
    </xf>
    <xf numFmtId="0" fontId="0" fillId="0" borderId="9" xfId="0" applyFill="1" applyBorder="1" applyAlignment="1">
      <alignment horizontal="left"/>
    </xf>
    <xf numFmtId="0" fontId="0" fillId="0" borderId="10" xfId="0" applyBorder="1"/>
    <xf numFmtId="165" fontId="0" fillId="6" borderId="11" xfId="0" applyNumberFormat="1" applyFill="1" applyBorder="1" applyAlignment="1">
      <alignment horizontal="right"/>
    </xf>
    <xf numFmtId="0" fontId="0" fillId="0" borderId="12" xfId="0" applyFill="1" applyBorder="1" applyAlignment="1">
      <alignment horizontal="left"/>
    </xf>
    <xf numFmtId="0" fontId="0" fillId="8" borderId="24" xfId="0" applyFill="1" applyBorder="1" applyAlignment="1" applyProtection="1">
      <alignment horizontal="right"/>
      <protection hidden="1"/>
    </xf>
    <xf numFmtId="0" fontId="0" fillId="0" borderId="0" xfId="0" applyBorder="1"/>
    <xf numFmtId="0" fontId="0" fillId="0" borderId="26" xfId="0" applyFill="1" applyBorder="1" applyAlignment="1">
      <alignment horizontal="left"/>
    </xf>
    <xf numFmtId="0" fontId="0" fillId="5" borderId="43" xfId="0" applyFill="1" applyBorder="1" applyAlignment="1">
      <alignment horizontal="right"/>
    </xf>
    <xf numFmtId="0" fontId="1" fillId="0" borderId="9" xfId="0" applyFont="1" applyFill="1" applyBorder="1" applyAlignment="1">
      <alignment horizontal="left"/>
    </xf>
    <xf numFmtId="0" fontId="1" fillId="0" borderId="44" xfId="0" applyFont="1" applyFill="1" applyBorder="1" applyAlignment="1">
      <alignment horizontal="left"/>
    </xf>
    <xf numFmtId="0" fontId="1" fillId="0" borderId="12" xfId="0" applyFont="1" applyFill="1" applyBorder="1" applyAlignment="1">
      <alignment horizontal="left"/>
    </xf>
    <xf numFmtId="0" fontId="0" fillId="0" borderId="0" xfId="0" applyBorder="1" applyAlignment="1">
      <alignment horizontal="right"/>
    </xf>
    <xf numFmtId="0" fontId="1" fillId="0" borderId="0" xfId="0" applyFont="1" applyFill="1" applyBorder="1" applyAlignment="1">
      <alignment horizontal="left"/>
    </xf>
    <xf numFmtId="0" fontId="20" fillId="8" borderId="0" xfId="0" applyFont="1" applyFill="1" applyBorder="1" applyAlignment="1" applyProtection="1">
      <alignment horizontal="right"/>
      <protection hidden="1"/>
    </xf>
    <xf numFmtId="0" fontId="0" fillId="0" borderId="29" xfId="0" applyBorder="1" applyAlignment="1">
      <alignment horizontal="left"/>
    </xf>
    <xf numFmtId="0" fontId="0" fillId="0" borderId="29" xfId="0" applyFill="1" applyBorder="1" applyAlignment="1" applyProtection="1">
      <alignment horizontal="right"/>
      <protection hidden="1"/>
    </xf>
    <xf numFmtId="0" fontId="0" fillId="8" borderId="7" xfId="0" applyFill="1" applyBorder="1" applyAlignment="1" applyProtection="1">
      <alignment vertical="center"/>
      <protection hidden="1"/>
    </xf>
    <xf numFmtId="0" fontId="0" fillId="8" borderId="30" xfId="0" applyFill="1" applyBorder="1" applyAlignment="1" applyProtection="1">
      <alignment vertical="center"/>
      <protection hidden="1"/>
    </xf>
    <xf numFmtId="0" fontId="0" fillId="8" borderId="5" xfId="0" applyFill="1" applyBorder="1" applyAlignment="1" applyProtection="1">
      <alignment vertical="center"/>
      <protection hidden="1"/>
    </xf>
    <xf numFmtId="2" fontId="0" fillId="6" borderId="11" xfId="0" applyNumberFormat="1" applyFill="1" applyBorder="1" applyAlignment="1">
      <alignment horizontal="right"/>
    </xf>
    <xf numFmtId="2" fontId="0" fillId="8" borderId="4" xfId="0" applyNumberFormat="1" applyFill="1" applyBorder="1" applyProtection="1">
      <protection hidden="1"/>
    </xf>
    <xf numFmtId="0" fontId="20" fillId="0" borderId="0" xfId="0" applyFont="1"/>
    <xf numFmtId="165" fontId="0" fillId="0" borderId="0" xfId="0" applyNumberFormat="1" applyFill="1" applyBorder="1" applyProtection="1">
      <protection hidden="1"/>
    </xf>
    <xf numFmtId="165" fontId="0" fillId="8" borderId="27" xfId="0" applyNumberFormat="1" applyFill="1" applyBorder="1" applyProtection="1">
      <protection hidden="1"/>
    </xf>
    <xf numFmtId="0" fontId="0" fillId="0" borderId="0" xfId="0" applyFill="1" applyBorder="1" applyAlignment="1">
      <alignment horizontal="right"/>
    </xf>
    <xf numFmtId="0" fontId="0" fillId="0" borderId="30" xfId="0" applyBorder="1" applyAlignment="1">
      <alignment horizontal="left"/>
    </xf>
    <xf numFmtId="0" fontId="0" fillId="0" borderId="38" xfId="0" applyBorder="1" applyAlignment="1">
      <alignment horizontal="left"/>
    </xf>
    <xf numFmtId="0" fontId="0" fillId="6" borderId="37" xfId="0" applyFill="1" applyBorder="1" applyAlignment="1">
      <alignment horizontal="right"/>
    </xf>
    <xf numFmtId="0" fontId="1" fillId="0" borderId="39" xfId="0" applyFont="1" applyFill="1" applyBorder="1" applyAlignment="1">
      <alignment horizontal="left"/>
    </xf>
    <xf numFmtId="0" fontId="0" fillId="8" borderId="0" xfId="0" applyFill="1" applyBorder="1" applyAlignment="1" applyProtection="1">
      <alignment horizontal="left"/>
      <protection hidden="1"/>
    </xf>
    <xf numFmtId="0" fontId="39" fillId="8" borderId="0" xfId="3" applyFont="1" applyFill="1" applyBorder="1" applyAlignment="1">
      <alignment vertical="center"/>
    </xf>
    <xf numFmtId="0" fontId="39" fillId="8" borderId="0" xfId="3" applyFont="1" applyFill="1" applyBorder="1" applyAlignment="1" applyProtection="1">
      <alignment vertical="center"/>
    </xf>
    <xf numFmtId="0" fontId="39" fillId="8" borderId="0" xfId="3" applyFont="1" applyFill="1" applyBorder="1" applyAlignment="1">
      <alignment horizontal="left" vertical="center" indent="4"/>
    </xf>
    <xf numFmtId="0" fontId="0" fillId="8" borderId="0" xfId="0" applyFill="1" applyBorder="1" applyAlignment="1" applyProtection="1">
      <alignment horizontal="left" indent="4"/>
      <protection hidden="1"/>
    </xf>
    <xf numFmtId="164" fontId="0" fillId="9" borderId="0" xfId="0" applyNumberFormat="1" applyFill="1" applyBorder="1" applyProtection="1">
      <protection locked="0" hidden="1"/>
    </xf>
    <xf numFmtId="0" fontId="7" fillId="8" borderId="0"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protection locked="0" hidden="1"/>
    </xf>
    <xf numFmtId="0" fontId="7" fillId="9" borderId="7" xfId="0" applyFont="1" applyFill="1" applyBorder="1" applyAlignment="1" applyProtection="1">
      <alignment horizontal="center" vertical="center"/>
      <protection locked="0" hidden="1"/>
    </xf>
    <xf numFmtId="0" fontId="0" fillId="5" borderId="24" xfId="0" applyFill="1" applyBorder="1" applyAlignment="1" applyProtection="1">
      <alignment horizontal="right" vertical="center"/>
      <protection hidden="1"/>
    </xf>
    <xf numFmtId="0" fontId="0" fillId="5" borderId="26" xfId="0" applyFill="1" applyBorder="1" applyAlignment="1" applyProtection="1">
      <alignment horizontal="right" vertical="center"/>
      <protection hidden="1"/>
    </xf>
    <xf numFmtId="0" fontId="11" fillId="8" borderId="0" xfId="0" applyFont="1" applyFill="1" applyBorder="1" applyAlignment="1" applyProtection="1">
      <alignment horizontal="left"/>
      <protection hidden="1"/>
    </xf>
    <xf numFmtId="0" fontId="7" fillId="8" borderId="24" xfId="0" applyFont="1" applyFill="1" applyBorder="1" applyAlignment="1" applyProtection="1">
      <alignment horizontal="center"/>
      <protection hidden="1"/>
    </xf>
    <xf numFmtId="0" fontId="7" fillId="8" borderId="25" xfId="0" applyFont="1" applyFill="1" applyBorder="1" applyAlignment="1" applyProtection="1">
      <alignment horizontal="center"/>
      <protection hidden="1"/>
    </xf>
    <xf numFmtId="0" fontId="7" fillId="8" borderId="26" xfId="0" applyFont="1" applyFill="1" applyBorder="1" applyAlignment="1" applyProtection="1">
      <alignment horizontal="center"/>
      <protection hidden="1"/>
    </xf>
    <xf numFmtId="0" fontId="7" fillId="9" borderId="0" xfId="0" applyFont="1" applyFill="1" applyBorder="1" applyAlignment="1" applyProtection="1">
      <alignment horizontal="center"/>
      <protection locked="0" hidden="1"/>
    </xf>
    <xf numFmtId="0" fontId="7" fillId="9" borderId="7" xfId="0" applyFont="1" applyFill="1" applyBorder="1" applyAlignment="1" applyProtection="1">
      <alignment horizontal="center"/>
      <protection locked="0" hidden="1"/>
    </xf>
    <xf numFmtId="0" fontId="7" fillId="8" borderId="3" xfId="0" applyFont="1" applyFill="1" applyBorder="1" applyAlignment="1" applyProtection="1">
      <alignment horizontal="center"/>
      <protection hidden="1"/>
    </xf>
    <xf numFmtId="0" fontId="7" fillId="8" borderId="4" xfId="0" applyFont="1" applyFill="1" applyBorder="1" applyAlignment="1" applyProtection="1">
      <alignment horizontal="center"/>
      <protection hidden="1"/>
    </xf>
    <xf numFmtId="0" fontId="7" fillId="8" borderId="5" xfId="0" applyFont="1" applyFill="1" applyBorder="1" applyAlignment="1" applyProtection="1">
      <alignment horizontal="center"/>
      <protection hidden="1"/>
    </xf>
    <xf numFmtId="0" fontId="7" fillId="9" borderId="25" xfId="0" applyFont="1" applyFill="1" applyBorder="1" applyAlignment="1" applyProtection="1">
      <alignment horizontal="center"/>
      <protection locked="0" hidden="1"/>
    </xf>
    <xf numFmtId="0" fontId="7" fillId="9" borderId="26" xfId="0" applyFont="1" applyFill="1" applyBorder="1" applyAlignment="1" applyProtection="1">
      <alignment horizontal="center"/>
      <protection locked="0" hidden="1"/>
    </xf>
    <xf numFmtId="0" fontId="13" fillId="8" borderId="0" xfId="0" applyFont="1" applyFill="1" applyBorder="1" applyAlignment="1" applyProtection="1">
      <alignment horizontal="center" vertical="center"/>
      <protection hidden="1"/>
    </xf>
    <xf numFmtId="0" fontId="10" fillId="3" borderId="3" xfId="0" applyFont="1" applyFill="1" applyBorder="1" applyAlignment="1" applyProtection="1">
      <alignment horizontal="left" vertical="center"/>
      <protection hidden="1"/>
    </xf>
    <xf numFmtId="0" fontId="10" fillId="3" borderId="4" xfId="0" applyFont="1" applyFill="1" applyBorder="1" applyAlignment="1" applyProtection="1">
      <alignment horizontal="left" vertical="center"/>
      <protection hidden="1"/>
    </xf>
    <xf numFmtId="0" fontId="10" fillId="3" borderId="6" xfId="0" applyFont="1" applyFill="1" applyBorder="1" applyAlignment="1" applyProtection="1">
      <alignment horizontal="left" vertical="center"/>
      <protection hidden="1"/>
    </xf>
    <xf numFmtId="0" fontId="10" fillId="3" borderId="0" xfId="0" applyFont="1" applyFill="1" applyBorder="1" applyAlignment="1" applyProtection="1">
      <alignment horizontal="left" vertical="center"/>
      <protection hidden="1"/>
    </xf>
    <xf numFmtId="0" fontId="5" fillId="8" borderId="0" xfId="0" applyFont="1" applyFill="1" applyBorder="1" applyAlignment="1" applyProtection="1">
      <alignment horizontal="center"/>
      <protection hidden="1"/>
    </xf>
    <xf numFmtId="0" fontId="0" fillId="0" borderId="27" xfId="0" applyFont="1" applyFill="1" applyBorder="1" applyAlignment="1" applyProtection="1">
      <alignment horizontal="center"/>
      <protection hidden="1"/>
    </xf>
    <xf numFmtId="0" fontId="0" fillId="0" borderId="30" xfId="0" applyFont="1" applyFill="1" applyBorder="1" applyAlignment="1" applyProtection="1">
      <alignment horizontal="center"/>
      <protection hidden="1"/>
    </xf>
    <xf numFmtId="0" fontId="39" fillId="8" borderId="0" xfId="3" applyFont="1" applyFill="1" applyBorder="1" applyAlignment="1" applyProtection="1">
      <alignment horizontal="left" vertical="center" indent="4"/>
      <protection locked="0"/>
    </xf>
    <xf numFmtId="0" fontId="7" fillId="8" borderId="6" xfId="0" applyFont="1" applyFill="1" applyBorder="1" applyAlignment="1" applyProtection="1">
      <alignment horizontal="center"/>
      <protection hidden="1"/>
    </xf>
    <xf numFmtId="0" fontId="7" fillId="8" borderId="0" xfId="0" applyFont="1" applyFill="1" applyBorder="1" applyAlignment="1" applyProtection="1">
      <alignment horizontal="center"/>
      <protection hidden="1"/>
    </xf>
    <xf numFmtId="0" fontId="7" fillId="8" borderId="7" xfId="0" applyFont="1" applyFill="1" applyBorder="1" applyAlignment="1" applyProtection="1">
      <alignment horizontal="center"/>
      <protection hidden="1"/>
    </xf>
    <xf numFmtId="0" fontId="0" fillId="8" borderId="4" xfId="0" applyFont="1" applyFill="1" applyBorder="1" applyAlignment="1" applyProtection="1">
      <alignment horizontal="center"/>
      <protection hidden="1"/>
    </xf>
    <xf numFmtId="0" fontId="0" fillId="8" borderId="5" xfId="0" applyFont="1" applyFill="1" applyBorder="1" applyAlignment="1" applyProtection="1">
      <alignment horizontal="center"/>
      <protection hidden="1"/>
    </xf>
    <xf numFmtId="0" fontId="0" fillId="8" borderId="27" xfId="0" applyFont="1" applyFill="1" applyBorder="1" applyAlignment="1" applyProtection="1">
      <alignment horizontal="center"/>
      <protection hidden="1"/>
    </xf>
    <xf numFmtId="0" fontId="0" fillId="8" borderId="30" xfId="0" applyFont="1" applyFill="1" applyBorder="1" applyAlignment="1" applyProtection="1">
      <alignment horizontal="center"/>
      <protection hidden="1"/>
    </xf>
    <xf numFmtId="0" fontId="11" fillId="8" borderId="0" xfId="0" applyFont="1" applyFill="1" applyBorder="1" applyAlignment="1" applyProtection="1">
      <alignment horizontal="left" wrapText="1"/>
      <protection hidden="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0" fillId="0" borderId="41"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0" fillId="0" borderId="20" xfId="0" applyBorder="1" applyAlignment="1">
      <alignment horizontal="center"/>
    </xf>
    <xf numFmtId="0" fontId="0" fillId="0" borderId="2" xfId="0"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2" borderId="29" xfId="0" applyFill="1" applyBorder="1" applyAlignment="1">
      <alignment horizontal="center"/>
    </xf>
    <xf numFmtId="0" fontId="0" fillId="2" borderId="27" xfId="0" applyFill="1" applyBorder="1" applyAlignment="1">
      <alignment horizontal="center"/>
    </xf>
    <xf numFmtId="0" fontId="0" fillId="2" borderId="30"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0" borderId="6" xfId="0" applyFill="1" applyBorder="1" applyAlignment="1">
      <alignment horizont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29" xfId="0" applyBorder="1" applyAlignment="1">
      <alignment horizontal="center"/>
    </xf>
    <xf numFmtId="0" fontId="0" fillId="0" borderId="2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8" fillId="0" borderId="42" xfId="1" applyFont="1" applyBorder="1" applyAlignment="1">
      <alignment wrapText="1"/>
    </xf>
    <xf numFmtId="0" fontId="26" fillId="0" borderId="42" xfId="1" applyFont="1" applyBorder="1" applyAlignment="1">
      <alignment horizontal="center"/>
    </xf>
    <xf numFmtId="0" fontId="26" fillId="11" borderId="42" xfId="1" applyFont="1" applyFill="1" applyBorder="1" applyAlignment="1">
      <alignment horizontal="center"/>
    </xf>
    <xf numFmtId="0" fontId="32" fillId="12" borderId="42" xfId="1" applyFont="1" applyFill="1" applyBorder="1" applyAlignment="1">
      <alignment horizontal="left"/>
    </xf>
    <xf numFmtId="0" fontId="28" fillId="0" borderId="42" xfId="1" applyFont="1" applyBorder="1" applyAlignment="1">
      <alignment horizontal="left"/>
    </xf>
  </cellXfs>
  <cellStyles count="4">
    <cellStyle name="Hyperlink 2" xfId="2"/>
    <cellStyle name="Lien hypertexte" xfId="3" builtinId="8"/>
    <cellStyle name="Normal" xfId="0" builtinId="0"/>
    <cellStyle name="Normal 4" xfId="1"/>
  </cellStyles>
  <dxfs count="23">
    <dxf>
      <font>
        <strike/>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font>
      <fill>
        <patternFill>
          <bgColor theme="0" tint="-0.24994659260841701"/>
        </patternFill>
      </fill>
    </dxf>
    <dxf>
      <font>
        <strike/>
      </font>
      <fill>
        <patternFill>
          <bgColor theme="0" tint="-0.24994659260841701"/>
        </patternFill>
      </fill>
    </dxf>
    <dxf>
      <font>
        <strike/>
      </font>
      <fill>
        <patternFill>
          <bgColor theme="0" tint="-0.14996795556505021"/>
        </patternFill>
      </fill>
    </dxf>
    <dxf>
      <font>
        <strike/>
      </font>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Inner Current Loop  </a:t>
            </a:r>
            <a:endParaRPr lang="en-US"/>
          </a:p>
        </c:rich>
      </c:tx>
      <c:layout/>
      <c:overlay val="0"/>
    </c:title>
    <c:autoTitleDeleted val="0"/>
    <c:plotArea>
      <c:layout/>
      <c:scatterChart>
        <c:scatterStyle val="lineMarker"/>
        <c:varyColors val="0"/>
        <c:ser>
          <c:idx val="0"/>
          <c:order val="0"/>
          <c:tx>
            <c:v>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114.72248473345564</c:v>
                </c:pt>
                <c:pt idx="1">
                  <c:v>112.49980475678653</c:v>
                </c:pt>
                <c:pt idx="2">
                  <c:v>110.27681906163639</c:v>
                </c:pt>
                <c:pt idx="3">
                  <c:v>108.05332358885377</c:v>
                </c:pt>
                <c:pt idx="4">
                  <c:v>105.82897828825486</c:v>
                </c:pt>
                <c:pt idx="5">
                  <c:v>103.6032168692731</c:v>
                </c:pt>
                <c:pt idx="6">
                  <c:v>101.37509733128957</c:v>
                </c:pt>
                <c:pt idx="7">
                  <c:v>99.14305560544301</c:v>
                </c:pt>
                <c:pt idx="8">
                  <c:v>96.90450278334805</c:v>
                </c:pt>
                <c:pt idx="9">
                  <c:v>94.655175594347384</c:v>
                </c:pt>
                <c:pt idx="10">
                  <c:v>92.388113207996398</c:v>
                </c:pt>
                <c:pt idx="11">
                  <c:v>90.09210973753585</c:v>
                </c:pt>
                <c:pt idx="12">
                  <c:v>87.749539759488243</c:v>
                </c:pt>
                <c:pt idx="13">
                  <c:v>85.333713079465596</c:v>
                </c:pt>
                <c:pt idx="14">
                  <c:v>82.80661818948019</c:v>
                </c:pt>
                <c:pt idx="15">
                  <c:v>80.119186974272537</c:v>
                </c:pt>
                <c:pt idx="16">
                  <c:v>77.217329688837367</c:v>
                </c:pt>
                <c:pt idx="17">
                  <c:v>74.055517847231982</c:v>
                </c:pt>
                <c:pt idx="18">
                  <c:v>70.613502222373</c:v>
                </c:pt>
                <c:pt idx="19">
                  <c:v>66.90537251047472</c:v>
                </c:pt>
                <c:pt idx="20">
                  <c:v>62.973691727358059</c:v>
                </c:pt>
                <c:pt idx="21">
                  <c:v>58.873717991979746</c:v>
                </c:pt>
                <c:pt idx="22">
                  <c:v>54.658918265606033</c:v>
                </c:pt>
                <c:pt idx="23">
                  <c:v>50.373972365655895</c:v>
                </c:pt>
                <c:pt idx="24">
                  <c:v>46.054555192738832</c:v>
                </c:pt>
                <c:pt idx="25">
                  <c:v>41.730788092697011</c:v>
                </c:pt>
                <c:pt idx="26">
                  <c:v>37.432033815486761</c:v>
                </c:pt>
                <c:pt idx="27">
                  <c:v>33.191827146520019</c:v>
                </c:pt>
                <c:pt idx="28">
                  <c:v>29.05190477272679</c:v>
                </c:pt>
                <c:pt idx="29">
                  <c:v>25.063396747454533</c:v>
                </c:pt>
                <c:pt idx="30">
                  <c:v>21.282119566910108</c:v>
                </c:pt>
                <c:pt idx="31">
                  <c:v>17.756022378926684</c:v>
                </c:pt>
                <c:pt idx="32">
                  <c:v>14.508629744308418</c:v>
                </c:pt>
                <c:pt idx="33">
                  <c:v>11.529057180463727</c:v>
                </c:pt>
                <c:pt idx="34">
                  <c:v>8.7767014375437213</c:v>
                </c:pt>
                <c:pt idx="35">
                  <c:v>6.1966368099424232</c:v>
                </c:pt>
                <c:pt idx="36">
                  <c:v>3.7345463154460661</c:v>
                </c:pt>
                <c:pt idx="37">
                  <c:v>1.3443302359552511</c:v>
                </c:pt>
                <c:pt idx="38">
                  <c:v>-1.01133881999908</c:v>
                </c:pt>
                <c:pt idx="39">
                  <c:v>-3.3644371164253113</c:v>
                </c:pt>
                <c:pt idx="40">
                  <c:v>-5.7465139260360321</c:v>
                </c:pt>
                <c:pt idx="41">
                  <c:v>-8.1937139850002172</c:v>
                </c:pt>
                <c:pt idx="42">
                  <c:v>-10.750594270489856</c:v>
                </c:pt>
                <c:pt idx="43">
                  <c:v>-13.470471487408918</c:v>
                </c:pt>
                <c:pt idx="44">
                  <c:v>-16.409178334322061</c:v>
                </c:pt>
                <c:pt idx="45">
                  <c:v>-19.611138282034425</c:v>
                </c:pt>
                <c:pt idx="46">
                  <c:v>-23.0933190625889</c:v>
                </c:pt>
                <c:pt idx="47">
                  <c:v>-26.838213907704976</c:v>
                </c:pt>
                <c:pt idx="48">
                  <c:v>-30.801812347962077</c:v>
                </c:pt>
                <c:pt idx="49">
                  <c:v>-34.930143290435304</c:v>
                </c:pt>
                <c:pt idx="50">
                  <c:v>-39.173403515508454</c:v>
                </c:pt>
                <c:pt idx="51">
                  <c:v>-43.492606701803965</c:v>
                </c:pt>
                <c:pt idx="52">
                  <c:v>-47.860198707008792</c:v>
                </c:pt>
                <c:pt idx="53">
                  <c:v>-52.257909541212427</c:v>
                </c:pt>
                <c:pt idx="54">
                  <c:v>-56.674094470623658</c:v>
                </c:pt>
              </c:numCache>
            </c:numRef>
          </c:yVal>
          <c:smooth val="0"/>
          <c:extLst>
            <c:ext xmlns:c16="http://schemas.microsoft.com/office/drawing/2014/chart" uri="{C3380CC4-5D6E-409C-BE32-E72D297353CC}">
              <c16:uniqueId val="{00000000-8CC5-45FF-B296-BE658513BD7D}"/>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8CC5-45FF-B296-BE658513BD7D}"/>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CC5-45FF-B296-BE658513BD7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Compensation!$AB$9</c:f>
              <c:numCache>
                <c:formatCode>General</c:formatCode>
                <c:ptCount val="1"/>
                <c:pt idx="0">
                  <c:v>79.577471545947674</c:v>
                </c:pt>
              </c:numCache>
            </c:numRef>
          </c:xVal>
          <c:yVal>
            <c:numRef>
              <c:f>Compensation!$AE$9</c:f>
              <c:numCache>
                <c:formatCode>General</c:formatCode>
                <c:ptCount val="1"/>
                <c:pt idx="0">
                  <c:v>73.700282322035434</c:v>
                </c:pt>
              </c:numCache>
            </c:numRef>
          </c:yVal>
          <c:smooth val="0"/>
          <c:extLst>
            <c:ext xmlns:c16="http://schemas.microsoft.com/office/drawing/2014/chart" uri="{C3380CC4-5D6E-409C-BE32-E72D297353CC}">
              <c16:uniqueId val="{00000003-8CC5-45FF-B296-BE658513BD7D}"/>
            </c:ext>
          </c:extLst>
        </c:ser>
        <c:ser>
          <c:idx val="3"/>
          <c:order val="3"/>
          <c:tx>
            <c:v>Fzcomp</c:v>
          </c:tx>
          <c:marker>
            <c:symbol val="circle"/>
            <c:size val="9"/>
            <c:spPr>
              <a:noFill/>
              <a:ln w="22225">
                <a:solidFill>
                  <a:schemeClr val="tx1"/>
                </a:solidFill>
              </a:ln>
            </c:spPr>
          </c:marker>
          <c:dLbls>
            <c:dLbl>
              <c:idx val="0"/>
              <c:layout/>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CC5-45FF-B296-BE658513BD7D}"/>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Compensation!$AB$10</c:f>
              <c:numCache>
                <c:formatCode>General</c:formatCode>
                <c:ptCount val="1"/>
                <c:pt idx="0">
                  <c:v>2922.955795994405</c:v>
                </c:pt>
              </c:numCache>
            </c:numRef>
          </c:xVal>
          <c:yVal>
            <c:numRef>
              <c:f>Compensation!$AE$10</c:f>
              <c:numCache>
                <c:formatCode>General</c:formatCode>
                <c:ptCount val="1"/>
                <c:pt idx="0">
                  <c:v>17.109409706263872</c:v>
                </c:pt>
              </c:numCache>
            </c:numRef>
          </c:yVal>
          <c:smooth val="0"/>
          <c:extLst>
            <c:ext xmlns:c16="http://schemas.microsoft.com/office/drawing/2014/chart" uri="{C3380CC4-5D6E-409C-BE32-E72D297353CC}">
              <c16:uniqueId val="{00000005-8CC5-45FF-B296-BE658513BD7D}"/>
            </c:ext>
          </c:extLst>
        </c:ser>
        <c:ser>
          <c:idx val="4"/>
          <c:order val="4"/>
          <c:tx>
            <c:v>Fpcomp</c:v>
          </c:tx>
          <c:marker>
            <c:symbol val="x"/>
            <c:size val="10"/>
            <c:spPr>
              <a:ln w="25400">
                <a:solidFill>
                  <a:schemeClr val="tx1"/>
                </a:solidFill>
              </a:ln>
            </c:spPr>
          </c:marker>
          <c:dLbls>
            <c:dLbl>
              <c:idx val="0"/>
              <c:layout/>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8CC5-45FF-B296-BE658513BD7D}"/>
                </c:ext>
              </c:extLst>
            </c:dLbl>
            <c:spPr>
              <a:noFill/>
              <a:ln>
                <a:noFill/>
              </a:ln>
              <a:effectLst/>
            </c:spPr>
            <c:txPr>
              <a:bodyPr/>
              <a:lstStyle/>
              <a:p>
                <a:pPr>
                  <a:defRPr sz="1200"/>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Compensation!$AB$11</c:f>
              <c:numCache>
                <c:formatCode>General</c:formatCode>
                <c:ptCount val="1"/>
                <c:pt idx="0">
                  <c:v>96457.541267815352</c:v>
                </c:pt>
              </c:numCache>
            </c:numRef>
          </c:xVal>
          <c:yVal>
            <c:numRef>
              <c:f>Compensation!$AE$11</c:f>
              <c:numCache>
                <c:formatCode>General</c:formatCode>
                <c:ptCount val="1"/>
                <c:pt idx="0">
                  <c:v>-19.142797884833506</c:v>
                </c:pt>
              </c:numCache>
            </c:numRef>
          </c:yVal>
          <c:smooth val="0"/>
          <c:extLst>
            <c:ext xmlns:c16="http://schemas.microsoft.com/office/drawing/2014/chart" uri="{C3380CC4-5D6E-409C-BE32-E72D297353CC}">
              <c16:uniqueId val="{00000007-8CC5-45FF-B296-BE658513BD7D}"/>
            </c:ext>
          </c:extLst>
        </c:ser>
        <c:dLbls>
          <c:showLegendKey val="0"/>
          <c:showVal val="0"/>
          <c:showCatName val="0"/>
          <c:showSerName val="0"/>
          <c:showPercent val="0"/>
          <c:showBubbleSize val="0"/>
        </c:dLbls>
        <c:axId val="180812800"/>
        <c:axId val="182049408"/>
      </c:scatterChart>
      <c:scatterChart>
        <c:scatterStyle val="lineMarker"/>
        <c:varyColors val="0"/>
        <c:ser>
          <c:idx val="1"/>
          <c:order val="1"/>
          <c:tx>
            <c:v>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89.299063365513902</c:v>
                </c:pt>
                <c:pt idx="1">
                  <c:v>89.094738218329596</c:v>
                </c:pt>
                <c:pt idx="2">
                  <c:v>88.830879873890467</c:v>
                </c:pt>
                <c:pt idx="3">
                  <c:v>88.490174975580885</c:v>
                </c:pt>
                <c:pt idx="4">
                  <c:v>88.050312632782664</c:v>
                </c:pt>
                <c:pt idx="5">
                  <c:v>87.482585101964247</c:v>
                </c:pt>
                <c:pt idx="6">
                  <c:v>86.750146585665036</c:v>
                </c:pt>
                <c:pt idx="7">
                  <c:v>85.805905394478657</c:v>
                </c:pt>
                <c:pt idx="8">
                  <c:v>84.590100478947491</c:v>
                </c:pt>
                <c:pt idx="9">
                  <c:v>83.027798134404662</c:v>
                </c:pt>
                <c:pt idx="10">
                  <c:v>81.026948987228977</c:v>
                </c:pt>
                <c:pt idx="11">
                  <c:v>78.478452387631918</c:v>
                </c:pt>
                <c:pt idx="12">
                  <c:v>75.261104988480682</c:v>
                </c:pt>
                <c:pt idx="13">
                  <c:v>71.25634534855736</c:v>
                </c:pt>
                <c:pt idx="14">
                  <c:v>66.379200842535681</c:v>
                </c:pt>
                <c:pt idx="15">
                  <c:v>60.628882339961727</c:v>
                </c:pt>
                <c:pt idx="16">
                  <c:v>54.148420077355944</c:v>
                </c:pt>
                <c:pt idx="17">
                  <c:v>47.257676323294667</c:v>
                </c:pt>
                <c:pt idx="18">
                  <c:v>40.413670092205102</c:v>
                </c:pt>
                <c:pt idx="19">
                  <c:v>34.094449819858454</c:v>
                </c:pt>
                <c:pt idx="20">
                  <c:v>28.673778553865411</c:v>
                </c:pt>
                <c:pt idx="21">
                  <c:v>24.363801509046294</c:v>
                </c:pt>
                <c:pt idx="22">
                  <c:v>21.237383047261101</c:v>
                </c:pt>
                <c:pt idx="23">
                  <c:v>19.287714440433223</c:v>
                </c:pt>
                <c:pt idx="24">
                  <c:v>18.483965330316732</c:v>
                </c:pt>
                <c:pt idx="25">
                  <c:v>18.806166027749416</c:v>
                </c:pt>
                <c:pt idx="26">
                  <c:v>20.258152083735524</c:v>
                </c:pt>
                <c:pt idx="27">
                  <c:v>22.860169887815275</c:v>
                </c:pt>
                <c:pt idx="28">
                  <c:v>26.620109065691679</c:v>
                </c:pt>
                <c:pt idx="29">
                  <c:v>31.48258528936918</c:v>
                </c:pt>
                <c:pt idx="30">
                  <c:v>37.266410361019553</c:v>
                </c:pt>
                <c:pt idx="31">
                  <c:v>43.624727088294478</c:v>
                </c:pt>
                <c:pt idx="32">
                  <c:v>50.074964833748453</c:v>
                </c:pt>
                <c:pt idx="33">
                  <c:v>56.108215784966596</c:v>
                </c:pt>
                <c:pt idx="34">
                  <c:v>61.315634399878228</c:v>
                </c:pt>
                <c:pt idx="35">
                  <c:v>65.451759593393561</c:v>
                </c:pt>
                <c:pt idx="36">
                  <c:v>68.41657413268706</c:v>
                </c:pt>
                <c:pt idx="37">
                  <c:v>70.196340810994059</c:v>
                </c:pt>
                <c:pt idx="38">
                  <c:v>70.806216825141306</c:v>
                </c:pt>
                <c:pt idx="39">
                  <c:v>70.253716365157644</c:v>
                </c:pt>
                <c:pt idx="40">
                  <c:v>68.525440375384491</c:v>
                </c:pt>
                <c:pt idx="41">
                  <c:v>65.595981525369297</c:v>
                </c:pt>
                <c:pt idx="42">
                  <c:v>61.459857430781945</c:v>
                </c:pt>
                <c:pt idx="43">
                  <c:v>56.185376897909755</c:v>
                </c:pt>
                <c:pt idx="44">
                  <c:v>49.975111071712703</c:v>
                </c:pt>
                <c:pt idx="45">
                  <c:v>43.193315532028279</c:v>
                </c:pt>
                <c:pt idx="46">
                  <c:v>36.315938586962091</c:v>
                </c:pt>
                <c:pt idx="47">
                  <c:v>29.808696781170557</c:v>
                </c:pt>
                <c:pt idx="48">
                  <c:v>24.006961905510405</c:v>
                </c:pt>
                <c:pt idx="49">
                  <c:v>19.068981585665735</c:v>
                </c:pt>
                <c:pt idx="50">
                  <c:v>15.004525779129132</c:v>
                </c:pt>
                <c:pt idx="51">
                  <c:v>11.734082878072975</c:v>
                </c:pt>
                <c:pt idx="52">
                  <c:v>9.1409456565492402</c:v>
                </c:pt>
                <c:pt idx="53">
                  <c:v>7.1037890020054251</c:v>
                </c:pt>
                <c:pt idx="54">
                  <c:v>5.5125344166158596</c:v>
                </c:pt>
              </c:numCache>
            </c:numRef>
          </c:yVal>
          <c:smooth val="0"/>
          <c:extLst>
            <c:ext xmlns:c16="http://schemas.microsoft.com/office/drawing/2014/chart" uri="{C3380CC4-5D6E-409C-BE32-E72D297353CC}">
              <c16:uniqueId val="{00000008-8CC5-45FF-B296-BE658513BD7D}"/>
            </c:ext>
          </c:extLst>
        </c:ser>
        <c:dLbls>
          <c:showLegendKey val="0"/>
          <c:showVal val="0"/>
          <c:showCatName val="0"/>
          <c:showSerName val="0"/>
          <c:showPercent val="0"/>
          <c:showBubbleSize val="0"/>
        </c:dLbls>
        <c:axId val="182350592"/>
        <c:axId val="182310016"/>
      </c:scatterChart>
      <c:valAx>
        <c:axId val="1808128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layout/>
          <c:overlay val="0"/>
        </c:title>
        <c:numFmt formatCode="General" sourceLinked="1"/>
        <c:majorTickMark val="out"/>
        <c:minorTickMark val="cross"/>
        <c:tickLblPos val="low"/>
        <c:crossAx val="182049408"/>
        <c:crosses val="autoZero"/>
        <c:crossBetween val="midCat"/>
      </c:valAx>
      <c:valAx>
        <c:axId val="182049408"/>
        <c:scaling>
          <c:orientation val="minMax"/>
          <c:max val="60"/>
          <c:min val="-40"/>
        </c:scaling>
        <c:delete val="0"/>
        <c:axPos val="l"/>
        <c:majorGridlines/>
        <c:title>
          <c:tx>
            <c:rich>
              <a:bodyPr rot="-5400000" vert="horz"/>
              <a:lstStyle/>
              <a:p>
                <a:pPr>
                  <a:defRPr/>
                </a:pPr>
                <a:r>
                  <a:rPr lang="en-US"/>
                  <a:t>Loop Gain (dB)</a:t>
                </a:r>
              </a:p>
            </c:rich>
          </c:tx>
          <c:layout/>
          <c:overlay val="0"/>
        </c:title>
        <c:numFmt formatCode="General" sourceLinked="1"/>
        <c:majorTickMark val="out"/>
        <c:minorTickMark val="none"/>
        <c:tickLblPos val="nextTo"/>
        <c:crossAx val="180812800"/>
        <c:crosses val="autoZero"/>
        <c:crossBetween val="midCat"/>
        <c:majorUnit val="20"/>
      </c:valAx>
      <c:valAx>
        <c:axId val="182310016"/>
        <c:scaling>
          <c:orientation val="minMax"/>
          <c:max val="180"/>
          <c:min val="-180"/>
        </c:scaling>
        <c:delete val="0"/>
        <c:axPos val="r"/>
        <c:title>
          <c:tx>
            <c:rich>
              <a:bodyPr rot="-5400000" vert="horz"/>
              <a:lstStyle/>
              <a:p>
                <a:pPr>
                  <a:defRPr/>
                </a:pPr>
                <a:r>
                  <a:rPr lang="en-US"/>
                  <a:t>Loop Phase Margin (deg)</a:t>
                </a:r>
              </a:p>
            </c:rich>
          </c:tx>
          <c:layout/>
          <c:overlay val="0"/>
        </c:title>
        <c:numFmt formatCode="General" sourceLinked="1"/>
        <c:majorTickMark val="out"/>
        <c:minorTickMark val="none"/>
        <c:tickLblPos val="nextTo"/>
        <c:crossAx val="182350592"/>
        <c:crosses val="max"/>
        <c:crossBetween val="midCat"/>
        <c:majorUnit val="45"/>
      </c:valAx>
      <c:valAx>
        <c:axId val="182350592"/>
        <c:scaling>
          <c:logBase val="10"/>
          <c:orientation val="minMax"/>
        </c:scaling>
        <c:delete val="1"/>
        <c:axPos val="b"/>
        <c:numFmt formatCode="General" sourceLinked="1"/>
        <c:majorTickMark val="out"/>
        <c:minorTickMark val="none"/>
        <c:tickLblPos val="nextTo"/>
        <c:crossAx val="18231001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Open-Loop Current  </a:t>
            </a:r>
            <a:endParaRPr lang="en-US"/>
          </a:p>
        </c:rich>
      </c:tx>
      <c:overlay val="0"/>
    </c:title>
    <c:autoTitleDeleted val="0"/>
    <c:plotArea>
      <c:layout/>
      <c:scatterChart>
        <c:scatterStyle val="lineMarker"/>
        <c:varyColors val="0"/>
        <c:ser>
          <c:idx val="0"/>
          <c:order val="0"/>
          <c:tx>
            <c:v>Current Loop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114.72248473345564</c:v>
                </c:pt>
                <c:pt idx="1">
                  <c:v>112.49980475678653</c:v>
                </c:pt>
                <c:pt idx="2">
                  <c:v>110.27681906163639</c:v>
                </c:pt>
                <c:pt idx="3">
                  <c:v>108.05332358885377</c:v>
                </c:pt>
                <c:pt idx="4">
                  <c:v>105.82897828825486</c:v>
                </c:pt>
                <c:pt idx="5">
                  <c:v>103.6032168692731</c:v>
                </c:pt>
                <c:pt idx="6">
                  <c:v>101.37509733128957</c:v>
                </c:pt>
                <c:pt idx="7">
                  <c:v>99.14305560544301</c:v>
                </c:pt>
                <c:pt idx="8">
                  <c:v>96.90450278334805</c:v>
                </c:pt>
                <c:pt idx="9">
                  <c:v>94.655175594347384</c:v>
                </c:pt>
                <c:pt idx="10">
                  <c:v>92.388113207996398</c:v>
                </c:pt>
                <c:pt idx="11">
                  <c:v>90.09210973753585</c:v>
                </c:pt>
                <c:pt idx="12">
                  <c:v>87.749539759488243</c:v>
                </c:pt>
                <c:pt idx="13">
                  <c:v>85.333713079465596</c:v>
                </c:pt>
                <c:pt idx="14">
                  <c:v>82.80661818948019</c:v>
                </c:pt>
                <c:pt idx="15">
                  <c:v>80.119186974272537</c:v>
                </c:pt>
                <c:pt idx="16">
                  <c:v>77.217329688837367</c:v>
                </c:pt>
                <c:pt idx="17">
                  <c:v>74.055517847231982</c:v>
                </c:pt>
                <c:pt idx="18">
                  <c:v>70.613502222373</c:v>
                </c:pt>
                <c:pt idx="19">
                  <c:v>66.90537251047472</c:v>
                </c:pt>
                <c:pt idx="20">
                  <c:v>62.973691727358059</c:v>
                </c:pt>
                <c:pt idx="21">
                  <c:v>58.873717991979746</c:v>
                </c:pt>
                <c:pt idx="22">
                  <c:v>54.658918265606033</c:v>
                </c:pt>
                <c:pt idx="23">
                  <c:v>50.373972365655895</c:v>
                </c:pt>
                <c:pt idx="24">
                  <c:v>46.054555192738832</c:v>
                </c:pt>
                <c:pt idx="25">
                  <c:v>41.730788092697011</c:v>
                </c:pt>
                <c:pt idx="26">
                  <c:v>37.432033815486761</c:v>
                </c:pt>
                <c:pt idx="27">
                  <c:v>33.191827146520019</c:v>
                </c:pt>
                <c:pt idx="28">
                  <c:v>29.05190477272679</c:v>
                </c:pt>
                <c:pt idx="29">
                  <c:v>25.063396747454533</c:v>
                </c:pt>
                <c:pt idx="30">
                  <c:v>21.282119566910108</c:v>
                </c:pt>
                <c:pt idx="31">
                  <c:v>17.756022378926684</c:v>
                </c:pt>
                <c:pt idx="32">
                  <c:v>14.508629744308418</c:v>
                </c:pt>
                <c:pt idx="33">
                  <c:v>11.529057180463727</c:v>
                </c:pt>
                <c:pt idx="34">
                  <c:v>8.7767014375437213</c:v>
                </c:pt>
                <c:pt idx="35">
                  <c:v>6.1966368099424232</c:v>
                </c:pt>
                <c:pt idx="36">
                  <c:v>3.7345463154460661</c:v>
                </c:pt>
                <c:pt idx="37">
                  <c:v>1.3443302359552511</c:v>
                </c:pt>
                <c:pt idx="38">
                  <c:v>-1.01133881999908</c:v>
                </c:pt>
                <c:pt idx="39">
                  <c:v>-3.3644371164253113</c:v>
                </c:pt>
                <c:pt idx="40">
                  <c:v>-5.7465139260360321</c:v>
                </c:pt>
                <c:pt idx="41">
                  <c:v>-8.1937139850002172</c:v>
                </c:pt>
                <c:pt idx="42">
                  <c:v>-10.750594270489856</c:v>
                </c:pt>
                <c:pt idx="43">
                  <c:v>-13.470471487408918</c:v>
                </c:pt>
                <c:pt idx="44">
                  <c:v>-16.409178334322061</c:v>
                </c:pt>
                <c:pt idx="45">
                  <c:v>-19.611138282034425</c:v>
                </c:pt>
                <c:pt idx="46">
                  <c:v>-23.0933190625889</c:v>
                </c:pt>
                <c:pt idx="47">
                  <c:v>-26.838213907704976</c:v>
                </c:pt>
                <c:pt idx="48">
                  <c:v>-30.801812347962077</c:v>
                </c:pt>
                <c:pt idx="49">
                  <c:v>-34.930143290435304</c:v>
                </c:pt>
                <c:pt idx="50">
                  <c:v>-39.173403515508454</c:v>
                </c:pt>
                <c:pt idx="51">
                  <c:v>-43.492606701803965</c:v>
                </c:pt>
                <c:pt idx="52">
                  <c:v>-47.860198707008792</c:v>
                </c:pt>
                <c:pt idx="53">
                  <c:v>-52.257909541212427</c:v>
                </c:pt>
                <c:pt idx="54">
                  <c:v>-56.674094470623658</c:v>
                </c:pt>
              </c:numCache>
            </c:numRef>
          </c:yVal>
          <c:smooth val="0"/>
          <c:extLst>
            <c:ext xmlns:c16="http://schemas.microsoft.com/office/drawing/2014/chart" uri="{C3380CC4-5D6E-409C-BE32-E72D297353CC}">
              <c16:uniqueId val="{00000000-50F6-4DF3-A35C-308D1FB32DF8}"/>
            </c:ext>
          </c:extLst>
        </c:ser>
        <c:dLbls>
          <c:showLegendKey val="0"/>
          <c:showVal val="0"/>
          <c:showCatName val="0"/>
          <c:showSerName val="0"/>
          <c:showPercent val="0"/>
          <c:showBubbleSize val="0"/>
        </c:dLbls>
        <c:axId val="222780416"/>
        <c:axId val="222795648"/>
      </c:scatterChart>
      <c:scatterChart>
        <c:scatterStyle val="lineMarker"/>
        <c:varyColors val="0"/>
        <c:ser>
          <c:idx val="1"/>
          <c:order val="1"/>
          <c:tx>
            <c:v>Current Loop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89.299063365513902</c:v>
                </c:pt>
                <c:pt idx="1">
                  <c:v>89.094738218329596</c:v>
                </c:pt>
                <c:pt idx="2">
                  <c:v>88.830879873890467</c:v>
                </c:pt>
                <c:pt idx="3">
                  <c:v>88.490174975580885</c:v>
                </c:pt>
                <c:pt idx="4">
                  <c:v>88.050312632782664</c:v>
                </c:pt>
                <c:pt idx="5">
                  <c:v>87.482585101964247</c:v>
                </c:pt>
                <c:pt idx="6">
                  <c:v>86.750146585665036</c:v>
                </c:pt>
                <c:pt idx="7">
                  <c:v>85.805905394478657</c:v>
                </c:pt>
                <c:pt idx="8">
                  <c:v>84.590100478947491</c:v>
                </c:pt>
                <c:pt idx="9">
                  <c:v>83.027798134404662</c:v>
                </c:pt>
                <c:pt idx="10">
                  <c:v>81.026948987228977</c:v>
                </c:pt>
                <c:pt idx="11">
                  <c:v>78.478452387631918</c:v>
                </c:pt>
                <c:pt idx="12">
                  <c:v>75.261104988480682</c:v>
                </c:pt>
                <c:pt idx="13">
                  <c:v>71.25634534855736</c:v>
                </c:pt>
                <c:pt idx="14">
                  <c:v>66.379200842535681</c:v>
                </c:pt>
                <c:pt idx="15">
                  <c:v>60.628882339961727</c:v>
                </c:pt>
                <c:pt idx="16">
                  <c:v>54.148420077355944</c:v>
                </c:pt>
                <c:pt idx="17">
                  <c:v>47.257676323294667</c:v>
                </c:pt>
                <c:pt idx="18">
                  <c:v>40.413670092205102</c:v>
                </c:pt>
                <c:pt idx="19">
                  <c:v>34.094449819858454</c:v>
                </c:pt>
                <c:pt idx="20">
                  <c:v>28.673778553865411</c:v>
                </c:pt>
                <c:pt idx="21">
                  <c:v>24.363801509046294</c:v>
                </c:pt>
                <c:pt idx="22">
                  <c:v>21.237383047261101</c:v>
                </c:pt>
                <c:pt idx="23">
                  <c:v>19.287714440433223</c:v>
                </c:pt>
                <c:pt idx="24">
                  <c:v>18.483965330316732</c:v>
                </c:pt>
                <c:pt idx="25">
                  <c:v>18.806166027749416</c:v>
                </c:pt>
                <c:pt idx="26">
                  <c:v>20.258152083735524</c:v>
                </c:pt>
                <c:pt idx="27">
                  <c:v>22.860169887815275</c:v>
                </c:pt>
                <c:pt idx="28">
                  <c:v>26.620109065691679</c:v>
                </c:pt>
                <c:pt idx="29">
                  <c:v>31.48258528936918</c:v>
                </c:pt>
                <c:pt idx="30">
                  <c:v>37.266410361019553</c:v>
                </c:pt>
                <c:pt idx="31">
                  <c:v>43.624727088294478</c:v>
                </c:pt>
                <c:pt idx="32">
                  <c:v>50.074964833748453</c:v>
                </c:pt>
                <c:pt idx="33">
                  <c:v>56.108215784966596</c:v>
                </c:pt>
                <c:pt idx="34">
                  <c:v>61.315634399878228</c:v>
                </c:pt>
                <c:pt idx="35">
                  <c:v>65.451759593393561</c:v>
                </c:pt>
                <c:pt idx="36">
                  <c:v>68.41657413268706</c:v>
                </c:pt>
                <c:pt idx="37">
                  <c:v>70.196340810994059</c:v>
                </c:pt>
                <c:pt idx="38">
                  <c:v>70.806216825141306</c:v>
                </c:pt>
                <c:pt idx="39">
                  <c:v>70.253716365157644</c:v>
                </c:pt>
                <c:pt idx="40">
                  <c:v>68.525440375384491</c:v>
                </c:pt>
                <c:pt idx="41">
                  <c:v>65.595981525369297</c:v>
                </c:pt>
                <c:pt idx="42">
                  <c:v>61.459857430781945</c:v>
                </c:pt>
                <c:pt idx="43">
                  <c:v>56.185376897909755</c:v>
                </c:pt>
                <c:pt idx="44">
                  <c:v>49.975111071712703</c:v>
                </c:pt>
                <c:pt idx="45">
                  <c:v>43.193315532028279</c:v>
                </c:pt>
                <c:pt idx="46">
                  <c:v>36.315938586962091</c:v>
                </c:pt>
                <c:pt idx="47">
                  <c:v>29.808696781170557</c:v>
                </c:pt>
                <c:pt idx="48">
                  <c:v>24.006961905510405</c:v>
                </c:pt>
                <c:pt idx="49">
                  <c:v>19.068981585665735</c:v>
                </c:pt>
                <c:pt idx="50">
                  <c:v>15.004525779129132</c:v>
                </c:pt>
                <c:pt idx="51">
                  <c:v>11.734082878072975</c:v>
                </c:pt>
                <c:pt idx="52">
                  <c:v>9.1409456565492402</c:v>
                </c:pt>
                <c:pt idx="53">
                  <c:v>7.1037890020054251</c:v>
                </c:pt>
                <c:pt idx="54">
                  <c:v>5.5125344166158596</c:v>
                </c:pt>
              </c:numCache>
            </c:numRef>
          </c:yVal>
          <c:smooth val="0"/>
          <c:extLst>
            <c:ext xmlns:c16="http://schemas.microsoft.com/office/drawing/2014/chart" uri="{C3380CC4-5D6E-409C-BE32-E72D297353CC}">
              <c16:uniqueId val="{00000001-50F6-4DF3-A35C-308D1FB32DF8}"/>
            </c:ext>
          </c:extLst>
        </c:ser>
        <c:dLbls>
          <c:showLegendKey val="0"/>
          <c:showVal val="0"/>
          <c:showCatName val="0"/>
          <c:showSerName val="0"/>
          <c:showPercent val="0"/>
          <c:showBubbleSize val="0"/>
        </c:dLbls>
        <c:axId val="223315072"/>
        <c:axId val="222797184"/>
      </c:scatterChart>
      <c:valAx>
        <c:axId val="222780416"/>
        <c:scaling>
          <c:logBase val="10"/>
          <c:orientation val="minMax"/>
          <c:min val="10"/>
        </c:scaling>
        <c:delete val="0"/>
        <c:axPos val="b"/>
        <c:majorGridlines/>
        <c:minorGridlines/>
        <c:numFmt formatCode="General" sourceLinked="1"/>
        <c:majorTickMark val="out"/>
        <c:minorTickMark val="cross"/>
        <c:tickLblPos val="low"/>
        <c:crossAx val="222795648"/>
        <c:crosses val="autoZero"/>
        <c:crossBetween val="midCat"/>
      </c:valAx>
      <c:valAx>
        <c:axId val="222795648"/>
        <c:scaling>
          <c:orientation val="minMax"/>
          <c:max val="60"/>
          <c:min val="-40"/>
        </c:scaling>
        <c:delete val="0"/>
        <c:axPos val="l"/>
        <c:majorGridlines/>
        <c:numFmt formatCode="General" sourceLinked="1"/>
        <c:majorTickMark val="out"/>
        <c:minorTickMark val="none"/>
        <c:tickLblPos val="nextTo"/>
        <c:crossAx val="222780416"/>
        <c:crosses val="autoZero"/>
        <c:crossBetween val="midCat"/>
        <c:majorUnit val="20"/>
      </c:valAx>
      <c:valAx>
        <c:axId val="222797184"/>
        <c:scaling>
          <c:orientation val="minMax"/>
          <c:max val="180"/>
          <c:min val="-180"/>
        </c:scaling>
        <c:delete val="0"/>
        <c:axPos val="r"/>
        <c:numFmt formatCode="General" sourceLinked="1"/>
        <c:majorTickMark val="out"/>
        <c:minorTickMark val="none"/>
        <c:tickLblPos val="nextTo"/>
        <c:crossAx val="223315072"/>
        <c:crosses val="max"/>
        <c:crossBetween val="midCat"/>
        <c:majorUnit val="45"/>
      </c:valAx>
      <c:valAx>
        <c:axId val="223315072"/>
        <c:scaling>
          <c:logBase val="10"/>
          <c:orientation val="minMax"/>
        </c:scaling>
        <c:delete val="1"/>
        <c:axPos val="b"/>
        <c:numFmt formatCode="General" sourceLinked="1"/>
        <c:majorTickMark val="out"/>
        <c:minorTickMark val="none"/>
        <c:tickLblPos val="nextTo"/>
        <c:crossAx val="222797184"/>
        <c:crosses val="autoZero"/>
        <c:crossBetween val="midCat"/>
      </c:valAx>
    </c:plotArea>
    <c:legend>
      <c:legendPos val="l"/>
      <c:layout>
        <c:manualLayout>
          <c:xMode val="edge"/>
          <c:yMode val="edge"/>
          <c:x val="0.66446284284970702"/>
          <c:y val="0.15975271971864352"/>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Compensation!$S$169:$S$223</c:f>
              <c:numCache>
                <c:formatCode>General</c:formatCode>
                <c:ptCount val="55"/>
                <c:pt idx="0">
                  <c:v>41.172561365037801</c:v>
                </c:pt>
                <c:pt idx="1">
                  <c:v>41.165981236417863</c:v>
                </c:pt>
                <c:pt idx="2">
                  <c:v>41.155027058927317</c:v>
                </c:pt>
                <c:pt idx="3">
                  <c:v>41.136815654347032</c:v>
                </c:pt>
                <c:pt idx="4">
                  <c:v>41.106606126158177</c:v>
                </c:pt>
                <c:pt idx="5">
                  <c:v>41.056676593832734</c:v>
                </c:pt>
                <c:pt idx="6">
                  <c:v>40.974645725835337</c:v>
                </c:pt>
                <c:pt idx="7">
                  <c:v>40.841166754631359</c:v>
                </c:pt>
                <c:pt idx="8">
                  <c:v>40.627253479476764</c:v>
                </c:pt>
                <c:pt idx="9">
                  <c:v>40.292324593448285</c:v>
                </c:pt>
                <c:pt idx="10">
                  <c:v>39.785402922478156</c:v>
                </c:pt>
                <c:pt idx="11">
                  <c:v>39.05272911606906</c:v>
                </c:pt>
                <c:pt idx="12">
                  <c:v>38.052630352813836</c:v>
                </c:pt>
                <c:pt idx="13">
                  <c:v>36.77154049964458</c:v>
                </c:pt>
                <c:pt idx="14">
                  <c:v>35.230025229308481</c:v>
                </c:pt>
                <c:pt idx="15">
                  <c:v>33.473825879190635</c:v>
                </c:pt>
                <c:pt idx="16">
                  <c:v>31.557203875958187</c:v>
                </c:pt>
                <c:pt idx="17">
                  <c:v>29.529397710215672</c:v>
                </c:pt>
                <c:pt idx="18">
                  <c:v>27.428624502903883</c:v>
                </c:pt>
                <c:pt idx="19">
                  <c:v>25.281863277088391</c:v>
                </c:pt>
                <c:pt idx="20">
                  <c:v>23.10718386162613</c:v>
                </c:pt>
                <c:pt idx="21">
                  <c:v>20.91650573279302</c:v>
                </c:pt>
                <c:pt idx="22">
                  <c:v>18.717952732041208</c:v>
                </c:pt>
                <c:pt idx="23">
                  <c:v>16.51768408748347</c:v>
                </c:pt>
                <c:pt idx="24">
                  <c:v>14.321350554103564</c:v>
                </c:pt>
                <c:pt idx="25">
                  <c:v>12.135365276118391</c:v>
                </c:pt>
                <c:pt idx="26">
                  <c:v>9.9680915260699496</c:v>
                </c:pt>
                <c:pt idx="27">
                  <c:v>7.8308083091704219</c:v>
                </c:pt>
                <c:pt idx="28">
                  <c:v>5.7378274515289203</c:v>
                </c:pt>
                <c:pt idx="29">
                  <c:v>3.7044668454663041</c:v>
                </c:pt>
                <c:pt idx="30">
                  <c:v>1.7415352011665144</c:v>
                </c:pt>
                <c:pt idx="31">
                  <c:v>-0.15258636843445847</c:v>
                </c:pt>
                <c:pt idx="32">
                  <c:v>-1.9959489443966967</c:v>
                </c:pt>
                <c:pt idx="33">
                  <c:v>-3.8152813129156145</c:v>
                </c:pt>
                <c:pt idx="34">
                  <c:v>-5.6285915115257534</c:v>
                </c:pt>
                <c:pt idx="35">
                  <c:v>-7.432032535896016</c:v>
                </c:pt>
                <c:pt idx="36">
                  <c:v>-9.2005246835058418</c:v>
                </c:pt>
                <c:pt idx="37">
                  <c:v>-10.897327310766023</c:v>
                </c:pt>
                <c:pt idx="38">
                  <c:v>-12.483462488904015</c:v>
                </c:pt>
                <c:pt idx="39">
                  <c:v>-13.92614706441455</c:v>
                </c:pt>
                <c:pt idx="40">
                  <c:v>-15.211964572326846</c:v>
                </c:pt>
                <c:pt idx="41">
                  <c:v>-16.363317275225761</c:v>
                </c:pt>
                <c:pt idx="42">
                  <c:v>-17.445006222525489</c:v>
                </c:pt>
                <c:pt idx="43">
                  <c:v>-18.550643864103513</c:v>
                </c:pt>
                <c:pt idx="44">
                  <c:v>-19.773557028052341</c:v>
                </c:pt>
                <c:pt idx="45">
                  <c:v>-21.177433520720733</c:v>
                </c:pt>
                <c:pt idx="46">
                  <c:v>-22.781985883996096</c:v>
                </c:pt>
                <c:pt idx="47">
                  <c:v>-24.56901237809663</c:v>
                </c:pt>
                <c:pt idx="48">
                  <c:v>-26.500528444044242</c:v>
                </c:pt>
                <c:pt idx="49">
                  <c:v>-28.535858946396047</c:v>
                </c:pt>
                <c:pt idx="50">
                  <c:v>-30.641004494458954</c:v>
                </c:pt>
                <c:pt idx="51">
                  <c:v>-32.791106863186755</c:v>
                </c:pt>
                <c:pt idx="52">
                  <c:v>-34.969370321645791</c:v>
                </c:pt>
                <c:pt idx="53">
                  <c:v>-37.164973194224046</c:v>
                </c:pt>
                <c:pt idx="54">
                  <c:v>-39.371140209695874</c:v>
                </c:pt>
              </c:numCache>
            </c:numRef>
          </c:yVal>
          <c:smooth val="1"/>
          <c:extLst>
            <c:ext xmlns:c16="http://schemas.microsoft.com/office/drawing/2014/chart" uri="{C3380CC4-5D6E-409C-BE32-E72D297353CC}">
              <c16:uniqueId val="{00000000-80B1-4A52-83EC-9E92BEB0D156}"/>
            </c:ext>
          </c:extLst>
        </c:ser>
        <c:ser>
          <c:idx val="1"/>
          <c:order val="2"/>
          <c:tx>
            <c:v>Simplis_Gain</c:v>
          </c:tx>
          <c:marker>
            <c:symbol val="none"/>
          </c:marker>
          <c:xVal>
            <c:numRef>
              <c:f>Compensation!$AE$182:$AE$1243</c:f>
              <c:numCache>
                <c:formatCode>General</c:formatCode>
                <c:ptCount val="1062"/>
              </c:numCache>
            </c:numRef>
          </c:xVal>
          <c:yVal>
            <c:numRef>
              <c:f>Compensation!$AF$182:$AF$1243</c:f>
              <c:numCache>
                <c:formatCode>General</c:formatCode>
                <c:ptCount val="1062"/>
                <c:pt idx="34">
                  <c:v>0</c:v>
                </c:pt>
                <c:pt idx="35">
                  <c:v>0</c:v>
                </c:pt>
                <c:pt idx="36">
                  <c:v>0</c:v>
                </c:pt>
              </c:numCache>
            </c:numRef>
          </c:yVal>
          <c:smooth val="0"/>
          <c:extLst>
            <c:ext xmlns:c16="http://schemas.microsoft.com/office/drawing/2014/chart" uri="{C3380CC4-5D6E-409C-BE32-E72D297353CC}">
              <c16:uniqueId val="{00000001-80B1-4A52-83EC-9E92BEB0D156}"/>
            </c:ext>
          </c:extLst>
        </c:ser>
        <c:dLbls>
          <c:showLegendKey val="0"/>
          <c:showVal val="0"/>
          <c:showCatName val="0"/>
          <c:showSerName val="0"/>
          <c:showPercent val="0"/>
          <c:showBubbleSize val="0"/>
        </c:dLbls>
        <c:axId val="224078080"/>
        <c:axId val="225329536"/>
      </c:scatterChart>
      <c:scatterChart>
        <c:scatterStyle val="lineMarker"/>
        <c:varyColors val="0"/>
        <c:ser>
          <c:idx val="0"/>
          <c:order val="1"/>
          <c:tx>
            <c:v>Phase_Boost_iL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Compensation!$T$169:$T$223</c:f>
              <c:numCache>
                <c:formatCode>General</c:formatCode>
                <c:ptCount val="55"/>
                <c:pt idx="0">
                  <c:v>-2.7331562905020319</c:v>
                </c:pt>
                <c:pt idx="1">
                  <c:v>-3.5282256276485908</c:v>
                </c:pt>
                <c:pt idx="2">
                  <c:v>-4.553049869388901</c:v>
                </c:pt>
                <c:pt idx="3">
                  <c:v>-5.8722744124980579</c:v>
                </c:pt>
                <c:pt idx="4">
                  <c:v>-7.5667521434545408</c:v>
                </c:pt>
                <c:pt idx="5">
                  <c:v>-9.7353747813661453</c:v>
                </c:pt>
                <c:pt idx="6">
                  <c:v>-12.494473269960103</c:v>
                </c:pt>
                <c:pt idx="7">
                  <c:v>-15.971527831701023</c:v>
                </c:pt>
                <c:pt idx="8">
                  <c:v>-20.287850002945287</c:v>
                </c:pt>
                <c:pt idx="9">
                  <c:v>-25.523906571107421</c:v>
                </c:pt>
                <c:pt idx="10">
                  <c:v>-31.66571749166123</c:v>
                </c:pt>
                <c:pt idx="11">
                  <c:v>-38.547762545213196</c:v>
                </c:pt>
                <c:pt idx="12">
                  <c:v>-45.833012700707577</c:v>
                </c:pt>
                <c:pt idx="13">
                  <c:v>-53.07229552273143</c:v>
                </c:pt>
                <c:pt idx="14">
                  <c:v>-59.831336716688405</c:v>
                </c:pt>
                <c:pt idx="15">
                  <c:v>-65.808374071364128</c:v>
                </c:pt>
                <c:pt idx="16">
                  <c:v>-70.875086173548567</c:v>
                </c:pt>
                <c:pt idx="17">
                  <c:v>-75.044598345103026</c:v>
                </c:pt>
                <c:pt idx="18">
                  <c:v>-78.412679988049064</c:v>
                </c:pt>
                <c:pt idx="19">
                  <c:v>-81.107881059097863</c:v>
                </c:pt>
                <c:pt idx="20">
                  <c:v>-83.261302909869684</c:v>
                </c:pt>
                <c:pt idx="21">
                  <c:v>-84.992659363744167</c:v>
                </c:pt>
                <c:pt idx="22">
                  <c:v>-86.406373820007232</c:v>
                </c:pt>
                <c:pt idx="23">
                  <c:v>-87.593071454205145</c:v>
                </c:pt>
                <c:pt idx="24">
                  <c:v>-88.634097601257636</c:v>
                </c:pt>
                <c:pt idx="25">
                  <c:v>-89.608551925836991</c:v>
                </c:pt>
                <c:pt idx="26">
                  <c:v>-90.60379886040603</c:v>
                </c:pt>
                <c:pt idx="27">
                  <c:v>-91.731492176054203</c:v>
                </c:pt>
                <c:pt idx="28">
                  <c:v>-93.15087406834256</c:v>
                </c:pt>
                <c:pt idx="29">
                  <c:v>-95.096588468341551</c:v>
                </c:pt>
                <c:pt idx="30">
                  <c:v>-97.895841347665851</c:v>
                </c:pt>
                <c:pt idx="31">
                  <c:v>-101.94423278095681</c:v>
                </c:pt>
                <c:pt idx="32">
                  <c:v>-107.61692489499403</c:v>
                </c:pt>
                <c:pt idx="33">
                  <c:v>-115.14342412954953</c:v>
                </c:pt>
                <c:pt idx="34">
                  <c:v>-124.5169524868257</c:v>
                </c:pt>
                <c:pt idx="35">
                  <c:v>-135.46587053358925</c:v>
                </c:pt>
                <c:pt idx="36">
                  <c:v>-147.45569691233473</c:v>
                </c:pt>
                <c:pt idx="37">
                  <c:v>-159.73503560640381</c:v>
                </c:pt>
                <c:pt idx="38">
                  <c:v>-171.50074826228689</c:v>
                </c:pt>
                <c:pt idx="39">
                  <c:v>177.82602165388244</c:v>
                </c:pt>
                <c:pt idx="40">
                  <c:v>168.38334228609924</c:v>
                </c:pt>
                <c:pt idx="41">
                  <c:v>159.88750292198145</c:v>
                </c:pt>
                <c:pt idx="42">
                  <c:v>151.87592902722599</c:v>
                </c:pt>
                <c:pt idx="43">
                  <c:v>143.99769053064409</c:v>
                </c:pt>
                <c:pt idx="44">
                  <c:v>136.18090803021497</c:v>
                </c:pt>
                <c:pt idx="45">
                  <c:v>128.61716011259816</c:v>
                </c:pt>
                <c:pt idx="46">
                  <c:v>121.61379237851044</c:v>
                </c:pt>
                <c:pt idx="47">
                  <c:v>115.42936279008767</c:v>
                </c:pt>
                <c:pt idx="48">
                  <c:v>110.18744123408602</c:v>
                </c:pt>
                <c:pt idx="49">
                  <c:v>105.88047722268325</c:v>
                </c:pt>
                <c:pt idx="50">
                  <c:v>102.41758238960476</c:v>
                </c:pt>
                <c:pt idx="51">
                  <c:v>99.672807447130538</c:v>
                </c:pt>
                <c:pt idx="52">
                  <c:v>97.516881155351214</c:v>
                </c:pt>
                <c:pt idx="53">
                  <c:v>95.832993025831755</c:v>
                </c:pt>
                <c:pt idx="54">
                  <c:v>94.522324037734421</c:v>
                </c:pt>
              </c:numCache>
            </c:numRef>
          </c:yVal>
          <c:smooth val="1"/>
          <c:extLst>
            <c:ext xmlns:c16="http://schemas.microsoft.com/office/drawing/2014/chart" uri="{C3380CC4-5D6E-409C-BE32-E72D297353CC}">
              <c16:uniqueId val="{00000002-80B1-4A52-83EC-9E92BEB0D156}"/>
            </c:ext>
          </c:extLst>
        </c:ser>
        <c:ser>
          <c:idx val="2"/>
          <c:order val="3"/>
          <c:tx>
            <c:v>Simplis_Phase</c:v>
          </c:tx>
          <c:marker>
            <c:symbol val="none"/>
          </c:marker>
          <c:xVal>
            <c:numRef>
              <c:f>Compensation!$AH$183:$AH$1244</c:f>
              <c:numCache>
                <c:formatCode>General</c:formatCode>
                <c:ptCount val="1062"/>
                <c:pt idx="33">
                  <c:v>-1.6001601278316493</c:v>
                </c:pt>
                <c:pt idx="34">
                  <c:v>2154.4346900318833</c:v>
                </c:pt>
                <c:pt idx="35">
                  <c:v>73.979408213873313</c:v>
                </c:pt>
              </c:numCache>
            </c:numRef>
          </c:xVal>
          <c:yVal>
            <c:numRef>
              <c:f>Compensation!$AI$183:$AI$1244</c:f>
              <c:numCache>
                <c:formatCode>General</c:formatCode>
                <c:ptCount val="1062"/>
              </c:numCache>
            </c:numRef>
          </c:yVal>
          <c:smooth val="0"/>
          <c:extLst>
            <c:ext xmlns:c16="http://schemas.microsoft.com/office/drawing/2014/chart" uri="{C3380CC4-5D6E-409C-BE32-E72D297353CC}">
              <c16:uniqueId val="{00000003-80B1-4A52-83EC-9E92BEB0D156}"/>
            </c:ext>
          </c:extLst>
        </c:ser>
        <c:dLbls>
          <c:showLegendKey val="0"/>
          <c:showVal val="0"/>
          <c:showCatName val="0"/>
          <c:showSerName val="0"/>
          <c:showPercent val="0"/>
          <c:showBubbleSize val="0"/>
        </c:dLbls>
        <c:axId val="281326720"/>
        <c:axId val="225331072"/>
      </c:scatterChart>
      <c:valAx>
        <c:axId val="224078080"/>
        <c:scaling>
          <c:logBase val="10"/>
          <c:orientation val="minMax"/>
        </c:scaling>
        <c:delete val="0"/>
        <c:axPos val="b"/>
        <c:majorGridlines/>
        <c:minorGridlines/>
        <c:numFmt formatCode="General" sourceLinked="1"/>
        <c:majorTickMark val="out"/>
        <c:minorTickMark val="cross"/>
        <c:tickLblPos val="low"/>
        <c:crossAx val="225329536"/>
        <c:crosses val="autoZero"/>
        <c:crossBetween val="midCat"/>
      </c:valAx>
      <c:valAx>
        <c:axId val="225329536"/>
        <c:scaling>
          <c:orientation val="minMax"/>
          <c:min val="-40"/>
        </c:scaling>
        <c:delete val="0"/>
        <c:axPos val="l"/>
        <c:majorGridlines/>
        <c:numFmt formatCode="General" sourceLinked="1"/>
        <c:majorTickMark val="out"/>
        <c:minorTickMark val="none"/>
        <c:tickLblPos val="nextTo"/>
        <c:crossAx val="224078080"/>
        <c:crosses val="autoZero"/>
        <c:crossBetween val="midCat"/>
        <c:majorUnit val="20"/>
      </c:valAx>
      <c:valAx>
        <c:axId val="225331072"/>
        <c:scaling>
          <c:orientation val="minMax"/>
          <c:max val="180"/>
          <c:min val="-180"/>
        </c:scaling>
        <c:delete val="0"/>
        <c:axPos val="r"/>
        <c:numFmt formatCode="General" sourceLinked="1"/>
        <c:majorTickMark val="out"/>
        <c:minorTickMark val="none"/>
        <c:tickLblPos val="nextTo"/>
        <c:crossAx val="281326720"/>
        <c:crosses val="max"/>
        <c:crossBetween val="midCat"/>
        <c:majorUnit val="45"/>
      </c:valAx>
      <c:valAx>
        <c:axId val="281326720"/>
        <c:scaling>
          <c:logBase val="10"/>
          <c:orientation val="minMax"/>
        </c:scaling>
        <c:delete val="1"/>
        <c:axPos val="b"/>
        <c:numFmt formatCode="General" sourceLinked="1"/>
        <c:majorTickMark val="out"/>
        <c:minorTickMark val="none"/>
        <c:tickLblPos val="nextTo"/>
        <c:crossAx val="2253310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Compensation!$S$79:$S$133</c:f>
              <c:numCache>
                <c:formatCode>General</c:formatCode>
                <c:ptCount val="55"/>
                <c:pt idx="0">
                  <c:v>33.9792723445726</c:v>
                </c:pt>
                <c:pt idx="1">
                  <c:v>33.979187002077005</c:v>
                </c:pt>
                <c:pt idx="2">
                  <c:v>33.979044645960663</c:v>
                </c:pt>
                <c:pt idx="3">
                  <c:v>33.978807192070718</c:v>
                </c:pt>
                <c:pt idx="4">
                  <c:v>33.978411124111631</c:v>
                </c:pt>
                <c:pt idx="5">
                  <c:v>33.97775052362104</c:v>
                </c:pt>
                <c:pt idx="6">
                  <c:v>33.976648800023199</c:v>
                </c:pt>
                <c:pt idx="7">
                  <c:v>33.974811638457119</c:v>
                </c:pt>
                <c:pt idx="8">
                  <c:v>33.971748803419402</c:v>
                </c:pt>
                <c:pt idx="9">
                  <c:v>33.966644507402862</c:v>
                </c:pt>
                <c:pt idx="10">
                  <c:v>33.958143408163572</c:v>
                </c:pt>
                <c:pt idx="11">
                  <c:v>33.943999791143234</c:v>
                </c:pt>
                <c:pt idx="12">
                  <c:v>33.920509239170848</c:v>
                </c:pt>
                <c:pt idx="13">
                  <c:v>33.881606298352864</c:v>
                </c:pt>
                <c:pt idx="14">
                  <c:v>33.817480905556792</c:v>
                </c:pt>
                <c:pt idx="15">
                  <c:v>33.712584639167325</c:v>
                </c:pt>
                <c:pt idx="16">
                  <c:v>33.543077697912494</c:v>
                </c:pt>
                <c:pt idx="17">
                  <c:v>33.274321322540963</c:v>
                </c:pt>
                <c:pt idx="18">
                  <c:v>32.860150706709533</c:v>
                </c:pt>
                <c:pt idx="19">
                  <c:v>32.246992938554293</c:v>
                </c:pt>
                <c:pt idx="20">
                  <c:v>31.385473322285176</c:v>
                </c:pt>
                <c:pt idx="21">
                  <c:v>30.247241682566258</c:v>
                </c:pt>
                <c:pt idx="22">
                  <c:v>28.837428700354391</c:v>
                </c:pt>
                <c:pt idx="23">
                  <c:v>27.193182625087346</c:v>
                </c:pt>
                <c:pt idx="24">
                  <c:v>25.369806227062899</c:v>
                </c:pt>
                <c:pt idx="25">
                  <c:v>23.425234656049998</c:v>
                </c:pt>
                <c:pt idx="26">
                  <c:v>21.411017537122504</c:v>
                </c:pt>
                <c:pt idx="27">
                  <c:v>19.370274788387412</c:v>
                </c:pt>
                <c:pt idx="28">
                  <c:v>17.338757434472758</c:v>
                </c:pt>
                <c:pt idx="29">
                  <c:v>15.344567148650565</c:v>
                </c:pt>
                <c:pt idx="30">
                  <c:v>13.403245489706794</c:v>
                </c:pt>
                <c:pt idx="31">
                  <c:v>11.508459452298272</c:v>
                </c:pt>
                <c:pt idx="32">
                  <c:v>9.6251366704819112</c:v>
                </c:pt>
                <c:pt idx="33">
                  <c:v>7.6953386959358916</c:v>
                </c:pt>
                <c:pt idx="34">
                  <c:v>5.6578335188941908</c:v>
                </c:pt>
                <c:pt idx="35">
                  <c:v>3.4683903338795825</c:v>
                </c:pt>
                <c:pt idx="36">
                  <c:v>1.1098483708378799</c:v>
                </c:pt>
                <c:pt idx="37">
                  <c:v>-1.406225567197861</c:v>
                </c:pt>
                <c:pt idx="38">
                  <c:v>-4.04355910210601</c:v>
                </c:pt>
                <c:pt idx="39">
                  <c:v>-6.7557265381100606</c:v>
                </c:pt>
                <c:pt idx="40">
                  <c:v>-9.51107553101237</c:v>
                </c:pt>
                <c:pt idx="41">
                  <c:v>-12.313564198518236</c:v>
                </c:pt>
                <c:pt idx="42">
                  <c:v>-15.205171761987843</c:v>
                </c:pt>
                <c:pt idx="43">
                  <c:v>-18.249948486866273</c:v>
                </c:pt>
                <c:pt idx="44">
                  <c:v>-21.508902166857339</c:v>
                </c:pt>
                <c:pt idx="45">
                  <c:v>-25.016470242506202</c:v>
                </c:pt>
                <c:pt idx="46">
                  <c:v>-28.769466413000117</c:v>
                </c:pt>
                <c:pt idx="47">
                  <c:v>-32.733461855580444</c:v>
                </c:pt>
                <c:pt idx="48">
                  <c:v>-36.859696108738817</c:v>
                </c:pt>
                <c:pt idx="49">
                  <c:v>-41.100624887424487</c:v>
                </c:pt>
                <c:pt idx="50">
                  <c:v>-45.417978087907201</c:v>
                </c:pt>
                <c:pt idx="51">
                  <c:v>-49.78428160151644</c:v>
                </c:pt>
                <c:pt idx="52">
                  <c:v>-54.181151462697947</c:v>
                </c:pt>
                <c:pt idx="53">
                  <c:v>-58.59680667732264</c:v>
                </c:pt>
                <c:pt idx="54">
                  <c:v>-63.023894296968379</c:v>
                </c:pt>
              </c:numCache>
            </c:numRef>
          </c:yVal>
          <c:smooth val="1"/>
          <c:extLst>
            <c:ext xmlns:c16="http://schemas.microsoft.com/office/drawing/2014/chart" uri="{C3380CC4-5D6E-409C-BE32-E72D297353CC}">
              <c16:uniqueId val="{00000000-5D47-4D12-9481-0731AA5F86FA}"/>
            </c:ext>
          </c:extLst>
        </c:ser>
        <c:ser>
          <c:idx val="1"/>
          <c:order val="2"/>
          <c:tx>
            <c:v>Simplis_Gain</c:v>
          </c:tx>
          <c:marker>
            <c:symbol val="none"/>
          </c:marker>
          <c:xVal>
            <c:numRef>
              <c:f>Compensation!$AR$84:$AR$1284</c:f>
              <c:numCache>
                <c:formatCode>General</c:formatCode>
                <c:ptCount val="1201"/>
              </c:numCache>
            </c:numRef>
          </c:xVal>
          <c:yVal>
            <c:numRef>
              <c:f>Compensation!$AS$84:$AS$1284</c:f>
              <c:numCache>
                <c:formatCode>General</c:formatCode>
                <c:ptCount val="1201"/>
              </c:numCache>
            </c:numRef>
          </c:yVal>
          <c:smooth val="0"/>
          <c:extLst>
            <c:ext xmlns:c16="http://schemas.microsoft.com/office/drawing/2014/chart" uri="{C3380CC4-5D6E-409C-BE32-E72D297353CC}">
              <c16:uniqueId val="{00000001-5D47-4D12-9481-0731AA5F86FA}"/>
            </c:ext>
          </c:extLst>
        </c:ser>
        <c:dLbls>
          <c:showLegendKey val="0"/>
          <c:showVal val="0"/>
          <c:showCatName val="0"/>
          <c:showSerName val="0"/>
          <c:showPercent val="0"/>
          <c:showBubbleSize val="0"/>
        </c:dLbls>
        <c:axId val="283349376"/>
        <c:axId val="283350912"/>
      </c:scatterChart>
      <c:scatterChart>
        <c:scatterStyle val="lineMarker"/>
        <c:varyColors val="0"/>
        <c:ser>
          <c:idx val="0"/>
          <c:order val="1"/>
          <c:tx>
            <c:v>Phase_Buck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Compensation!$T$79:$T$133</c:f>
              <c:numCache>
                <c:formatCode>General</c:formatCode>
                <c:ptCount val="55"/>
                <c:pt idx="0">
                  <c:v>-0.30713150733782441</c:v>
                </c:pt>
                <c:pt idx="1">
                  <c:v>-0.39667295924176305</c:v>
                </c:pt>
                <c:pt idx="2">
                  <c:v>-0.51231714833935282</c:v>
                </c:pt>
                <c:pt idx="3">
                  <c:v>-0.66167080630349118</c:v>
                </c:pt>
                <c:pt idx="4">
                  <c:v>-0.8545543510013216</c:v>
                </c:pt>
                <c:pt idx="5">
                  <c:v>-1.1036426091488629</c:v>
                </c:pt>
                <c:pt idx="6">
                  <c:v>-1.4252869504570349</c:v>
                </c:pt>
                <c:pt idx="7">
                  <c:v>-1.8405655211496181</c:v>
                </c:pt>
                <c:pt idx="8">
                  <c:v>-2.3766147703080458</c:v>
                </c:pt>
                <c:pt idx="9">
                  <c:v>-3.0682958009136225</c:v>
                </c:pt>
                <c:pt idx="10">
                  <c:v>-3.9602325004676215</c:v>
                </c:pt>
                <c:pt idx="11">
                  <c:v>-5.1092016118720212</c:v>
                </c:pt>
                <c:pt idx="12">
                  <c:v>-6.5867097795757106</c:v>
                </c:pt>
                <c:pt idx="13">
                  <c:v>-8.4812659265110373</c:v>
                </c:pt>
                <c:pt idx="14">
                  <c:v>-10.899187051702215</c:v>
                </c:pt>
                <c:pt idx="15">
                  <c:v>-13.961540171266083</c:v>
                </c:pt>
                <c:pt idx="16">
                  <c:v>-17.792918872069155</c:v>
                </c:pt>
                <c:pt idx="17">
                  <c:v>-22.495867522140834</c:v>
                </c:pt>
                <c:pt idx="18">
                  <c:v>-28.105873799019488</c:v>
                </c:pt>
                <c:pt idx="19">
                  <c:v>-34.532192188254832</c:v>
                </c:pt>
                <c:pt idx="20">
                  <c:v>-41.512945019604778</c:v>
                </c:pt>
                <c:pt idx="21">
                  <c:v>-48.631799976929813</c:v>
                </c:pt>
                <c:pt idx="22">
                  <c:v>-55.417847038099836</c:v>
                </c:pt>
                <c:pt idx="23">
                  <c:v>-61.479319663094145</c:v>
                </c:pt>
                <c:pt idx="24">
                  <c:v>-66.587576495563795</c:v>
                </c:pt>
                <c:pt idx="25">
                  <c:v>-70.6792175922929</c:v>
                </c:pt>
                <c:pt idx="26">
                  <c:v>-73.810785380464409</c:v>
                </c:pt>
                <c:pt idx="27">
                  <c:v>-76.114171524301895</c:v>
                </c:pt>
                <c:pt idx="28">
                  <c:v>-77.777723169792665</c:v>
                </c:pt>
                <c:pt idx="29">
                  <c:v>-79.052819602653102</c:v>
                </c:pt>
                <c:pt idx="30">
                  <c:v>-80.264792986399428</c:v>
                </c:pt>
                <c:pt idx="31">
                  <c:v>-81.789330805201288</c:v>
                </c:pt>
                <c:pt idx="32">
                  <c:v>-83.963813850722104</c:v>
                </c:pt>
                <c:pt idx="33">
                  <c:v>-86.964349446335106</c:v>
                </c:pt>
                <c:pt idx="34">
                  <c:v>-90.740602726637988</c:v>
                </c:pt>
                <c:pt idx="35">
                  <c:v>-95.058287609969796</c:v>
                </c:pt>
                <c:pt idx="36">
                  <c:v>-99.599181723703438</c:v>
                </c:pt>
                <c:pt idx="37">
                  <c:v>-104.06136367927654</c:v>
                </c:pt>
                <c:pt idx="38">
                  <c:v>-108.26243721327829</c:v>
                </c:pt>
                <c:pt idx="39">
                  <c:v>-112.23471764308721</c:v>
                </c:pt>
                <c:pt idx="40">
                  <c:v>-116.23619431233671</c:v>
                </c:pt>
                <c:pt idx="41">
                  <c:v>-120.63152991719171</c:v>
                </c:pt>
                <c:pt idx="42">
                  <c:v>-125.70878598170265</c:v>
                </c:pt>
                <c:pt idx="43">
                  <c:v>-131.53635778125107</c:v>
                </c:pt>
                <c:pt idx="44">
                  <c:v>-137.91833136521117</c:v>
                </c:pt>
                <c:pt idx="45">
                  <c:v>-144.46143353479738</c:v>
                </c:pt>
                <c:pt idx="46">
                  <c:v>-150.72291957844953</c:v>
                </c:pt>
                <c:pt idx="47">
                  <c:v>-156.35734077571263</c:v>
                </c:pt>
                <c:pt idx="48">
                  <c:v>-161.1852846242252</c:v>
                </c:pt>
                <c:pt idx="49">
                  <c:v>-165.17737784091884</c:v>
                </c:pt>
                <c:pt idx="50">
                  <c:v>-168.39914354036094</c:v>
                </c:pt>
                <c:pt idx="51">
                  <c:v>-170.95846737552955</c:v>
                </c:pt>
                <c:pt idx="52">
                  <c:v>-172.97138678063044</c:v>
                </c:pt>
                <c:pt idx="53">
                  <c:v>-174.54482033235203</c:v>
                </c:pt>
                <c:pt idx="54">
                  <c:v>-175.77009408047815</c:v>
                </c:pt>
              </c:numCache>
            </c:numRef>
          </c:yVal>
          <c:smooth val="1"/>
          <c:extLst>
            <c:ext xmlns:c16="http://schemas.microsoft.com/office/drawing/2014/chart" uri="{C3380CC4-5D6E-409C-BE32-E72D297353CC}">
              <c16:uniqueId val="{00000002-5D47-4D12-9481-0731AA5F86FA}"/>
            </c:ext>
          </c:extLst>
        </c:ser>
        <c:dLbls>
          <c:showLegendKey val="0"/>
          <c:showVal val="0"/>
          <c:showCatName val="0"/>
          <c:showSerName val="0"/>
          <c:showPercent val="0"/>
          <c:showBubbleSize val="0"/>
        </c:dLbls>
        <c:axId val="283589248"/>
        <c:axId val="283586944"/>
      </c:scatterChart>
      <c:valAx>
        <c:axId val="283349376"/>
        <c:scaling>
          <c:logBase val="10"/>
          <c:orientation val="minMax"/>
        </c:scaling>
        <c:delete val="0"/>
        <c:axPos val="b"/>
        <c:majorGridlines/>
        <c:minorGridlines/>
        <c:numFmt formatCode="General" sourceLinked="1"/>
        <c:majorTickMark val="out"/>
        <c:minorTickMark val="cross"/>
        <c:tickLblPos val="low"/>
        <c:crossAx val="283350912"/>
        <c:crosses val="autoZero"/>
        <c:crossBetween val="midCat"/>
      </c:valAx>
      <c:valAx>
        <c:axId val="283350912"/>
        <c:scaling>
          <c:orientation val="minMax"/>
          <c:min val="-40"/>
        </c:scaling>
        <c:delete val="0"/>
        <c:axPos val="l"/>
        <c:majorGridlines/>
        <c:numFmt formatCode="General" sourceLinked="1"/>
        <c:majorTickMark val="out"/>
        <c:minorTickMark val="none"/>
        <c:tickLblPos val="nextTo"/>
        <c:crossAx val="283349376"/>
        <c:crosses val="autoZero"/>
        <c:crossBetween val="midCat"/>
        <c:majorUnit val="20"/>
      </c:valAx>
      <c:valAx>
        <c:axId val="283586944"/>
        <c:scaling>
          <c:orientation val="minMax"/>
          <c:max val="180"/>
          <c:min val="-180"/>
        </c:scaling>
        <c:delete val="0"/>
        <c:axPos val="r"/>
        <c:numFmt formatCode="General" sourceLinked="1"/>
        <c:majorTickMark val="out"/>
        <c:minorTickMark val="none"/>
        <c:tickLblPos val="nextTo"/>
        <c:crossAx val="283589248"/>
        <c:crosses val="max"/>
        <c:crossBetween val="midCat"/>
        <c:majorUnit val="45"/>
      </c:valAx>
      <c:valAx>
        <c:axId val="283589248"/>
        <c:scaling>
          <c:logBase val="10"/>
          <c:orientation val="minMax"/>
        </c:scaling>
        <c:delete val="1"/>
        <c:axPos val="b"/>
        <c:numFmt formatCode="General" sourceLinked="1"/>
        <c:majorTickMark val="out"/>
        <c:minorTickMark val="none"/>
        <c:tickLblPos val="nextTo"/>
        <c:crossAx val="28358694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67.630700649735303</c:v>
                </c:pt>
                <c:pt idx="1">
                  <c:v>65.408414243041619</c:v>
                </c:pt>
                <c:pt idx="2">
                  <c:v>63.18608495818458</c:v>
                </c:pt>
                <c:pt idx="3">
                  <c:v>60.963684154508549</c:v>
                </c:pt>
                <c:pt idx="4">
                  <c:v>58.741164067689773</c:v>
                </c:pt>
                <c:pt idx="5">
                  <c:v>56.518445053107484</c:v>
                </c:pt>
                <c:pt idx="6">
                  <c:v>54.295394341941147</c:v>
                </c:pt>
                <c:pt idx="7">
                  <c:v>52.071790702696497</c:v>
                </c:pt>
                <c:pt idx="8">
                  <c:v>49.847265766526014</c:v>
                </c:pt>
                <c:pt idx="9">
                  <c:v>47.621206910097712</c:v>
                </c:pt>
                <c:pt idx="10">
                  <c:v>45.39259735123661</c:v>
                </c:pt>
                <c:pt idx="11">
                  <c:v>43.159755188051044</c:v>
                </c:pt>
                <c:pt idx="12">
                  <c:v>40.91991389211141</c:v>
                </c:pt>
                <c:pt idx="13">
                  <c:v>38.668565278814377</c:v>
                </c:pt>
                <c:pt idx="14">
                  <c:v>36.398477014655178</c:v>
                </c:pt>
                <c:pt idx="15">
                  <c:v>34.09834574831946</c:v>
                </c:pt>
                <c:pt idx="16">
                  <c:v>31.751263355014778</c:v>
                </c:pt>
                <c:pt idx="17">
                  <c:v>29.333751519949217</c:v>
                </c:pt>
                <c:pt idx="18">
                  <c:v>26.817203216585781</c:v>
                </c:pt>
                <c:pt idx="19">
                  <c:v>24.174642657649322</c:v>
                </c:pt>
                <c:pt idx="20">
                  <c:v>21.394595265889716</c:v>
                </c:pt>
                <c:pt idx="21">
                  <c:v>18.497677670017389</c:v>
                </c:pt>
                <c:pt idx="22">
                  <c:v>15.543070621528887</c:v>
                </c:pt>
                <c:pt idx="23">
                  <c:v>12.613515282795845</c:v>
                </c:pt>
                <c:pt idx="24">
                  <c:v>9.7846992111581734</c:v>
                </c:pt>
                <c:pt idx="25">
                  <c:v>7.1005380457654788</c:v>
                </c:pt>
                <c:pt idx="26">
                  <c:v>4.5698538391670427</c:v>
                </c:pt>
                <c:pt idx="27">
                  <c:v>2.1799891905639974</c:v>
                </c:pt>
                <c:pt idx="28">
                  <c:v>-8.7735491933635182E-2</c:v>
                </c:pt>
                <c:pt idx="29">
                  <c:v>-2.2514516011883066</c:v>
                </c:pt>
                <c:pt idx="30">
                  <c:v>-4.3336956340744575</c:v>
                </c:pt>
                <c:pt idx="31">
                  <c:v>-6.374543419430073</c:v>
                </c:pt>
                <c:pt idx="32">
                  <c:v>-8.4436277967675526</c:v>
                </c:pt>
                <c:pt idx="33">
                  <c:v>-10.639196833049908</c:v>
                </c:pt>
                <c:pt idx="34">
                  <c:v>-13.071510242010334</c:v>
                </c:pt>
                <c:pt idx="35">
                  <c:v>-15.840765296566959</c:v>
                </c:pt>
                <c:pt idx="36">
                  <c:v>-19.017659027219139</c:v>
                </c:pt>
                <c:pt idx="37">
                  <c:v>-22.625897174227827</c:v>
                </c:pt>
                <c:pt idx="38">
                  <c:v>-26.632475003977664</c:v>
                </c:pt>
                <c:pt idx="39">
                  <c:v>-30.961215326471212</c:v>
                </c:pt>
                <c:pt idx="40">
                  <c:v>-35.530441219312486</c:v>
                </c:pt>
                <c:pt idx="41">
                  <c:v>-40.29052843467305</c:v>
                </c:pt>
                <c:pt idx="42">
                  <c:v>-45.237608596312846</c:v>
                </c:pt>
                <c:pt idx="43">
                  <c:v>-50.401478123641752</c:v>
                </c:pt>
                <c:pt idx="44">
                  <c:v>-55.819632051377361</c:v>
                </c:pt>
                <c:pt idx="45">
                  <c:v>-61.511197556835128</c:v>
                </c:pt>
                <c:pt idx="46">
                  <c:v>-67.463338102329999</c:v>
                </c:pt>
                <c:pt idx="47">
                  <c:v>-73.635661814983408</c:v>
                </c:pt>
                <c:pt idx="48">
                  <c:v>-79.975767680235663</c:v>
                </c:pt>
                <c:pt idx="49">
                  <c:v>-86.43390489716856</c:v>
                </c:pt>
                <c:pt idx="50">
                  <c:v>-92.970471852230702</c:v>
                </c:pt>
                <c:pt idx="51">
                  <c:v>-99.557193057381298</c:v>
                </c:pt>
                <c:pt idx="52">
                  <c:v>-106.17520299274008</c:v>
                </c:pt>
                <c:pt idx="53">
                  <c:v>-112.81243156931383</c:v>
                </c:pt>
                <c:pt idx="54">
                  <c:v>-119.46135238308949</c:v>
                </c:pt>
              </c:numCache>
            </c:numRef>
          </c:yVal>
          <c:smooth val="0"/>
          <c:extLst>
            <c:ext xmlns:c16="http://schemas.microsoft.com/office/drawing/2014/chart" uri="{C3380CC4-5D6E-409C-BE32-E72D297353CC}">
              <c16:uniqueId val="{00000000-9D9E-4838-B6D9-10CD83C8297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9D9E-4838-B6D9-10CD83C8297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D9E-4838-B6D9-10CD83C8297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198.94367886486918</c:v>
                </c:pt>
              </c:numCache>
            </c:numRef>
          </c:xVal>
          <c:yVal>
            <c:numRef>
              <c:f>Compensation!$Z$137</c:f>
              <c:numCache>
                <c:formatCode>General</c:formatCode>
                <c:ptCount val="1"/>
                <c:pt idx="0">
                  <c:v>19.409519412812617</c:v>
                </c:pt>
              </c:numCache>
            </c:numRef>
          </c:yVal>
          <c:smooth val="0"/>
          <c:extLst>
            <c:ext xmlns:c16="http://schemas.microsoft.com/office/drawing/2014/chart" uri="{C3380CC4-5D6E-409C-BE32-E72D297353CC}">
              <c16:uniqueId val="{00000003-9D9E-4838-B6D9-10CD83C8297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D9E-4838-B6D9-10CD83C8297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370.1277746323147</c:v>
                </c:pt>
              </c:numCache>
            </c:numRef>
          </c:xVal>
          <c:yVal>
            <c:numRef>
              <c:f>Compensation!$Z$135</c:f>
              <c:numCache>
                <c:formatCode>General</c:formatCode>
                <c:ptCount val="1"/>
                <c:pt idx="0">
                  <c:v>12.281430599037018</c:v>
                </c:pt>
              </c:numCache>
            </c:numRef>
          </c:yVal>
          <c:smooth val="0"/>
          <c:extLst>
            <c:ext xmlns:c16="http://schemas.microsoft.com/office/drawing/2014/chart" uri="{C3380CC4-5D6E-409C-BE32-E72D297353CC}">
              <c16:uniqueId val="{00000005-9D9E-4838-B6D9-10CD83C8297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D9E-4838-B6D9-10CD83C82979}"/>
                </c:ext>
              </c:extLst>
            </c:dLbl>
            <c:spPr>
              <a:noFill/>
              <a:ln>
                <a:noFill/>
              </a:ln>
              <a:effectLst/>
            </c:spPr>
            <c:txPr>
              <a:bodyPr/>
              <a:lstStyle/>
              <a:p>
                <a:pPr>
                  <a:defRPr sz="1200"/>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11215.993170676204</c:v>
                </c:pt>
              </c:numCache>
            </c:numRef>
          </c:xVal>
          <c:yVal>
            <c:numRef>
              <c:f>Compensation!$Z$136</c:f>
              <c:numCache>
                <c:formatCode>General</c:formatCode>
                <c:ptCount val="1"/>
                <c:pt idx="0">
                  <c:v>-20.583415698639396</c:v>
                </c:pt>
              </c:numCache>
            </c:numRef>
          </c:yVal>
          <c:smooth val="0"/>
          <c:extLst>
            <c:ext xmlns:c16="http://schemas.microsoft.com/office/drawing/2014/chart" uri="{C3380CC4-5D6E-409C-BE32-E72D297353CC}">
              <c16:uniqueId val="{00000007-9D9E-4838-B6D9-10CD83C82979}"/>
            </c:ext>
          </c:extLst>
        </c:ser>
        <c:dLbls>
          <c:showLegendKey val="0"/>
          <c:showVal val="0"/>
          <c:showCatName val="0"/>
          <c:showSerName val="0"/>
          <c:showPercent val="0"/>
          <c:showBubbleSize val="0"/>
        </c:dLbls>
        <c:axId val="284427008"/>
        <c:axId val="28467200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89.842722907887179</c:v>
                </c:pt>
                <c:pt idx="1">
                  <c:v>89.796871135545572</c:v>
                </c:pt>
                <c:pt idx="2">
                  <c:v>89.737653962268382</c:v>
                </c:pt>
                <c:pt idx="3">
                  <c:v>89.661177789391886</c:v>
                </c:pt>
                <c:pt idx="4">
                  <c:v>89.56241739478267</c:v>
                </c:pt>
                <c:pt idx="5">
                  <c:v>89.434890108131455</c:v>
                </c:pt>
                <c:pt idx="6">
                  <c:v>89.270239717197526</c:v>
                </c:pt>
                <c:pt idx="7">
                  <c:v>89.057709221517271</c:v>
                </c:pt>
                <c:pt idx="8">
                  <c:v>88.783481682658163</c:v>
                </c:pt>
                <c:pt idx="9">
                  <c:v>88.429875637663656</c:v>
                </c:pt>
                <c:pt idx="10">
                  <c:v>87.974405697234431</c:v>
                </c:pt>
                <c:pt idx="11">
                  <c:v>87.388780872672541</c:v>
                </c:pt>
                <c:pt idx="12">
                  <c:v>86.638055029807191</c:v>
                </c:pt>
                <c:pt idx="13">
                  <c:v>85.68044551141034</c:v>
                </c:pt>
                <c:pt idx="14">
                  <c:v>84.468930856060979</c:v>
                </c:pt>
                <c:pt idx="15">
                  <c:v>82.956790080270778</c:v>
                </c:pt>
                <c:pt idx="16">
                  <c:v>81.110747997250414</c:v>
                </c:pt>
                <c:pt idx="17">
                  <c:v>78.936473175121975</c:v>
                </c:pt>
                <c:pt idx="18">
                  <c:v>76.518642952245202</c:v>
                </c:pt>
                <c:pt idx="19">
                  <c:v>74.065414976651667</c:v>
                </c:pt>
                <c:pt idx="20">
                  <c:v>71.922450430601145</c:v>
                </c:pt>
                <c:pt idx="21">
                  <c:v>70.505680448002266</c:v>
                </c:pt>
                <c:pt idx="22">
                  <c:v>70.141623913513172</c:v>
                </c:pt>
                <c:pt idx="23">
                  <c:v>70.900070526740635</c:v>
                </c:pt>
                <c:pt idx="24">
                  <c:v>72.548865290302302</c:v>
                </c:pt>
                <c:pt idx="25">
                  <c:v>74.667238404696334</c:v>
                </c:pt>
                <c:pt idx="26">
                  <c:v>76.816413376005045</c:v>
                </c:pt>
                <c:pt idx="27">
                  <c:v>78.641932596422166</c:v>
                </c:pt>
                <c:pt idx="28">
                  <c:v>79.870497176078842</c:v>
                </c:pt>
                <c:pt idx="29">
                  <c:v>80.243938393476625</c:v>
                </c:pt>
                <c:pt idx="30">
                  <c:v>79.453244633377622</c:v>
                </c:pt>
                <c:pt idx="31">
                  <c:v>77.129260996132629</c:v>
                </c:pt>
                <c:pt idx="32">
                  <c:v>72.923028126169484</c:v>
                </c:pt>
                <c:pt idx="33">
                  <c:v>66.644596439412155</c:v>
                </c:pt>
                <c:pt idx="34">
                  <c:v>58.368620016026355</c:v>
                </c:pt>
                <c:pt idx="35">
                  <c:v>48.451287927256203</c:v>
                </c:pt>
                <c:pt idx="36">
                  <c:v>37.483579211778689</c:v>
                </c:pt>
                <c:pt idx="37">
                  <c:v>26.191491190681301</c:v>
                </c:pt>
                <c:pt idx="38">
                  <c:v>15.249132424809659</c:v>
                </c:pt>
                <c:pt idx="39">
                  <c:v>5.0515278817610589</c:v>
                </c:pt>
                <c:pt idx="40">
                  <c:v>-4.3922366747571848</c:v>
                </c:pt>
                <c:pt idx="41">
                  <c:v>-13.352761121674304</c:v>
                </c:pt>
                <c:pt idx="42">
                  <c:v>-22.150159732015375</c:v>
                </c:pt>
                <c:pt idx="43">
                  <c:v>-30.951518387720544</c:v>
                </c:pt>
                <c:pt idx="44">
                  <c:v>-39.681604789137097</c:v>
                </c:pt>
                <c:pt idx="45">
                  <c:v>-48.064608916434608</c:v>
                </c:pt>
                <c:pt idx="46">
                  <c:v>-55.760996816136675</c:v>
                </c:pt>
                <c:pt idx="47">
                  <c:v>-62.511261575679981</c:v>
                </c:pt>
                <c:pt idx="48">
                  <c:v>-68.205429864350151</c:v>
                </c:pt>
                <c:pt idx="49">
                  <c:v>-72.869265964273623</c:v>
                </c:pt>
                <c:pt idx="50">
                  <c:v>-76.611629509228067</c:v>
                </c:pt>
                <c:pt idx="51">
                  <c:v>-79.574261930315288</c:v>
                </c:pt>
                <c:pt idx="52">
                  <c:v>-81.899554719425183</c:v>
                </c:pt>
                <c:pt idx="53">
                  <c:v>-83.714896954769387</c:v>
                </c:pt>
                <c:pt idx="54">
                  <c:v>-85.12749470943227</c:v>
                </c:pt>
              </c:numCache>
            </c:numRef>
          </c:yVal>
          <c:smooth val="0"/>
          <c:extLst>
            <c:ext xmlns:c16="http://schemas.microsoft.com/office/drawing/2014/chart" uri="{C3380CC4-5D6E-409C-BE32-E72D297353CC}">
              <c16:uniqueId val="{00000008-9D9E-4838-B6D9-10CD83C82979}"/>
            </c:ext>
          </c:extLst>
        </c:ser>
        <c:dLbls>
          <c:showLegendKey val="0"/>
          <c:showVal val="0"/>
          <c:showCatName val="0"/>
          <c:showSerName val="0"/>
          <c:showPercent val="0"/>
          <c:showBubbleSize val="0"/>
        </c:dLbls>
        <c:axId val="340130432"/>
        <c:axId val="340128128"/>
      </c:scatterChart>
      <c:valAx>
        <c:axId val="284427008"/>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84672000"/>
        <c:crosses val="autoZero"/>
        <c:crossBetween val="midCat"/>
      </c:valAx>
      <c:valAx>
        <c:axId val="28467200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84427008"/>
        <c:crosses val="autoZero"/>
        <c:crossBetween val="midCat"/>
        <c:majorUnit val="20"/>
      </c:valAx>
      <c:valAx>
        <c:axId val="340128128"/>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340130432"/>
        <c:crosses val="max"/>
        <c:crossBetween val="midCat"/>
        <c:majorUnit val="45"/>
      </c:valAx>
      <c:valAx>
        <c:axId val="340130432"/>
        <c:scaling>
          <c:logBase val="10"/>
          <c:orientation val="minMax"/>
        </c:scaling>
        <c:delete val="1"/>
        <c:axPos val="b"/>
        <c:numFmt formatCode="General" sourceLinked="1"/>
        <c:majorTickMark val="out"/>
        <c:minorTickMark val="none"/>
        <c:tickLblPos val="nextTo"/>
        <c:crossAx val="340128128"/>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a:t>
            </a:r>
            <a:r>
              <a:rPr lang="en-US" altLang="zh-CN" baseline="0"/>
              <a:t>oost</a:t>
            </a:r>
            <a:r>
              <a:rPr lang="en-US" baseline="0"/>
              <a: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61.962847985568736</c:v>
                </c:pt>
                <c:pt idx="1">
                  <c:v>59.745440374742074</c:v>
                </c:pt>
                <c:pt idx="2">
                  <c:v>57.531205267872807</c:v>
                </c:pt>
                <c:pt idx="3">
                  <c:v>55.322184936865149</c:v>
                </c:pt>
                <c:pt idx="4">
                  <c:v>53.121653312055308</c:v>
                </c:pt>
                <c:pt idx="5">
                  <c:v>50.93471936129211</c:v>
                </c:pt>
                <c:pt idx="6">
                  <c:v>48.768999368936406</c:v>
                </c:pt>
                <c:pt idx="7">
                  <c:v>46.634983065802622</c:v>
                </c:pt>
                <c:pt idx="8">
                  <c:v>44.545177162892003</c:v>
                </c:pt>
                <c:pt idx="9">
                  <c:v>42.510568131849276</c:v>
                </c:pt>
                <c:pt idx="10">
                  <c:v>40.533611684799276</c:v>
                </c:pt>
                <c:pt idx="11">
                  <c:v>38.600566345632529</c:v>
                </c:pt>
                <c:pt idx="12">
                  <c:v>36.68071632915143</c:v>
                </c:pt>
                <c:pt idx="13">
                  <c:v>34.737510834667823</c:v>
                </c:pt>
                <c:pt idx="14">
                  <c:v>32.74453506802039</c:v>
                </c:pt>
                <c:pt idx="15">
                  <c:v>30.693319819471874</c:v>
                </c:pt>
                <c:pt idx="16">
                  <c:v>28.589712846173711</c:v>
                </c:pt>
                <c:pt idx="17">
                  <c:v>26.445801173666389</c:v>
                </c:pt>
                <c:pt idx="18">
                  <c:v>24.273863795179746</c:v>
                </c:pt>
                <c:pt idx="19">
                  <c:v>22.083802764856134</c:v>
                </c:pt>
                <c:pt idx="20">
                  <c:v>19.88283625417035</c:v>
                </c:pt>
                <c:pt idx="21">
                  <c:v>17.676120169016379</c:v>
                </c:pt>
                <c:pt idx="22">
                  <c:v>15.467585489412761</c:v>
                </c:pt>
                <c:pt idx="23">
                  <c:v>13.260756361247841</c:v>
                </c:pt>
                <c:pt idx="24">
                  <c:v>11.059541284104791</c:v>
                </c:pt>
                <c:pt idx="25">
                  <c:v>8.8690527062585041</c:v>
                </c:pt>
                <c:pt idx="26">
                  <c:v>6.6964529925357121</c:v>
                </c:pt>
                <c:pt idx="27">
                  <c:v>4.551603351401277</c:v>
                </c:pt>
                <c:pt idx="28">
                  <c:v>2.4468098682843347</c:v>
                </c:pt>
                <c:pt idx="29">
                  <c:v>0.39428134704553808</c:v>
                </c:pt>
                <c:pt idx="30">
                  <c:v>-1.6001601278316493</c:v>
                </c:pt>
                <c:pt idx="31">
                  <c:v>-3.5461756173794754</c:v>
                </c:pt>
                <c:pt idx="32">
                  <c:v>-5.4746494537046475</c:v>
                </c:pt>
                <c:pt idx="33">
                  <c:v>-7.4322900726324717</c:v>
                </c:pt>
                <c:pt idx="34">
                  <c:v>-9.466908012400717</c:v>
                </c:pt>
                <c:pt idx="35">
                  <c:v>-11.616108951018822</c:v>
                </c:pt>
                <c:pt idx="36">
                  <c:v>-13.90635580523977</c:v>
                </c:pt>
                <c:pt idx="37">
                  <c:v>-16.354361902420877</c:v>
                </c:pt>
                <c:pt idx="38">
                  <c:v>-18.961254957621666</c:v>
                </c:pt>
                <c:pt idx="39">
                  <c:v>-21.705343136627459</c:v>
                </c:pt>
                <c:pt idx="40">
                  <c:v>-24.550348120491009</c:v>
                </c:pt>
                <c:pt idx="41">
                  <c:v>-27.471754956655797</c:v>
                </c:pt>
                <c:pt idx="42">
                  <c:v>-30.480154815187305</c:v>
                </c:pt>
                <c:pt idx="43">
                  <c:v>-33.620712540912052</c:v>
                </c:pt>
                <c:pt idx="44">
                  <c:v>-36.949563771200211</c:v>
                </c:pt>
                <c:pt idx="45">
                  <c:v>-40.504429309216917</c:v>
                </c:pt>
                <c:pt idx="46">
                  <c:v>-44.287933750663797</c:v>
                </c:pt>
                <c:pt idx="47">
                  <c:v>-48.271034485279301</c:v>
                </c:pt>
                <c:pt idx="48">
                  <c:v>-52.409021657543974</c:v>
                </c:pt>
                <c:pt idx="49">
                  <c:v>-56.657104374775081</c:v>
                </c:pt>
                <c:pt idx="50">
                  <c:v>-60.978785108735295</c:v>
                </c:pt>
                <c:pt idx="51">
                  <c:v>-65.347696837151716</c:v>
                </c:pt>
                <c:pt idx="52">
                  <c:v>-69.746135273929383</c:v>
                </c:pt>
                <c:pt idx="53">
                  <c:v>-74.162732615410192</c:v>
                </c:pt>
                <c:pt idx="54">
                  <c:v>-78.590385667886267</c:v>
                </c:pt>
              </c:numCache>
            </c:numRef>
          </c:yVal>
          <c:smooth val="0"/>
          <c:extLst>
            <c:ext xmlns:c16="http://schemas.microsoft.com/office/drawing/2014/chart" uri="{C3380CC4-5D6E-409C-BE32-E72D297353CC}">
              <c16:uniqueId val="{00000000-14C2-42E9-A41D-CEC5331D2AE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14C2-42E9-A41D-CEC5331D2AE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14C2-42E9-A41D-CEC5331D2AE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21.045281731159719</c:v>
                </c:pt>
              </c:numCache>
            </c:numRef>
          </c:xVal>
          <c:yVal>
            <c:numRef>
              <c:f>Compensation!$Z$227</c:f>
              <c:numCache>
                <c:formatCode>General</c:formatCode>
                <c:ptCount val="1"/>
                <c:pt idx="0">
                  <c:v>36.857036836131364</c:v>
                </c:pt>
              </c:numCache>
            </c:numRef>
          </c:yVal>
          <c:smooth val="0"/>
          <c:extLst>
            <c:ext xmlns:c16="http://schemas.microsoft.com/office/drawing/2014/chart" uri="{C3380CC4-5D6E-409C-BE32-E72D297353CC}">
              <c16:uniqueId val="{00000003-14C2-42E9-A41D-CEC5331D2AE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4C2-42E9-A41D-CEC5331D2AE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15.915494309189533</c:v>
                </c:pt>
              </c:numCache>
            </c:numRef>
          </c:xVal>
          <c:yVal>
            <c:numRef>
              <c:f>Compensation!$Z$225</c:f>
              <c:numCache>
                <c:formatCode>General</c:formatCode>
                <c:ptCount val="1"/>
                <c:pt idx="0">
                  <c:v>38.953438413292837</c:v>
                </c:pt>
              </c:numCache>
            </c:numRef>
          </c:yVal>
          <c:smooth val="0"/>
          <c:extLst>
            <c:ext xmlns:c16="http://schemas.microsoft.com/office/drawing/2014/chart" uri="{C3380CC4-5D6E-409C-BE32-E72D297353CC}">
              <c16:uniqueId val="{00000005-14C2-42E9-A41D-CEC5331D2AE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4C2-42E9-A41D-CEC5331D2AE6}"/>
                </c:ext>
              </c:extLst>
            </c:dLbl>
            <c:spPr>
              <a:noFill/>
              <a:ln>
                <a:noFill/>
              </a:ln>
              <a:effectLst/>
            </c:spPr>
            <c:txPr>
              <a:bodyPr/>
              <a:lstStyle/>
              <a:p>
                <a:pPr>
                  <a:defRPr sz="1200"/>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15915.494309189533</c:v>
                </c:pt>
              </c:numCache>
            </c:numRef>
          </c:xVal>
          <c:yVal>
            <c:numRef>
              <c:f>Compensation!$Z$226</c:f>
              <c:numCache>
                <c:formatCode>General</c:formatCode>
                <c:ptCount val="1"/>
                <c:pt idx="0">
                  <c:v>-18.471348268357765</c:v>
                </c:pt>
              </c:numCache>
            </c:numRef>
          </c:yVal>
          <c:smooth val="0"/>
          <c:extLst>
            <c:ext xmlns:c16="http://schemas.microsoft.com/office/drawing/2014/chart" uri="{C3380CC4-5D6E-409C-BE32-E72D297353CC}">
              <c16:uniqueId val="{00000007-14C2-42E9-A41D-CEC5331D2AE6}"/>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4C2-42E9-A41D-CEC5331D2AE6}"/>
                </c:ext>
              </c:extLst>
            </c:dLbl>
            <c:spPr>
              <a:noFill/>
              <a:ln>
                <a:noFill/>
              </a:ln>
              <a:effectLst/>
            </c:spPr>
            <c:txPr>
              <a:bodyPr/>
              <a:lstStyle/>
              <a:p>
                <a:pPr>
                  <a:defRPr sz="1400"/>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5261.3204327899293</c:v>
                </c:pt>
              </c:numCache>
            </c:numRef>
          </c:xVal>
          <c:yVal>
            <c:numRef>
              <c:f>Compensation!$Z$228</c:f>
              <c:numCache>
                <c:formatCode>General</c:formatCode>
                <c:ptCount val="1"/>
                <c:pt idx="0">
                  <c:v>-8.4167073265322703</c:v>
                </c:pt>
              </c:numCache>
            </c:numRef>
          </c:yVal>
          <c:smooth val="0"/>
          <c:extLst>
            <c:ext xmlns:c16="http://schemas.microsoft.com/office/drawing/2014/chart" uri="{C3380CC4-5D6E-409C-BE32-E72D297353CC}">
              <c16:uniqueId val="{00000009-14C2-42E9-A41D-CEC5331D2AE6}"/>
            </c:ext>
          </c:extLst>
        </c:ser>
        <c:dLbls>
          <c:showLegendKey val="0"/>
          <c:showVal val="0"/>
          <c:showCatName val="0"/>
          <c:showSerName val="0"/>
          <c:showPercent val="0"/>
          <c:showBubbleSize val="0"/>
        </c:dLbls>
        <c:axId val="178864896"/>
        <c:axId val="1788668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90.858521085774441</c:v>
                </c:pt>
                <c:pt idx="1">
                  <c:v>91.106541931214721</c:v>
                </c:pt>
                <c:pt idx="2">
                  <c:v>91.424267595925159</c:v>
                </c:pt>
                <c:pt idx="3">
                  <c:v>91.829082289384672</c:v>
                </c:pt>
                <c:pt idx="4">
                  <c:v>92.340222033513683</c:v>
                </c:pt>
                <c:pt idx="5">
                  <c:v>92.976029958263339</c:v>
                </c:pt>
                <c:pt idx="6">
                  <c:v>93.74761063716366</c:v>
                </c:pt>
                <c:pt idx="7">
                  <c:v>94.646651372226785</c:v>
                </c:pt>
                <c:pt idx="8">
                  <c:v>95.626494810520668</c:v>
                </c:pt>
                <c:pt idx="9">
                  <c:v>96.582037032993867</c:v>
                </c:pt>
                <c:pt idx="10">
                  <c:v>97.347321382623221</c:v>
                </c:pt>
                <c:pt idx="11">
                  <c:v>97.737558776657465</c:v>
                </c:pt>
                <c:pt idx="12">
                  <c:v>97.635044027111761</c:v>
                </c:pt>
                <c:pt idx="13">
                  <c:v>97.059232631913304</c:v>
                </c:pt>
                <c:pt idx="14">
                  <c:v>96.152870488280485</c:v>
                </c:pt>
                <c:pt idx="15">
                  <c:v>95.098422011449387</c:v>
                </c:pt>
                <c:pt idx="16">
                  <c:v>94.041049718944649</c:v>
                </c:pt>
                <c:pt idx="17">
                  <c:v>93.06122459589001</c:v>
                </c:pt>
                <c:pt idx="18">
                  <c:v>92.184623296387528</c:v>
                </c:pt>
                <c:pt idx="19">
                  <c:v>91.402613312100442</c:v>
                </c:pt>
                <c:pt idx="20">
                  <c:v>90.688659914589394</c:v>
                </c:pt>
                <c:pt idx="21">
                  <c:v>90.007619098916123</c:v>
                </c:pt>
                <c:pt idx="22">
                  <c:v>89.319408954647344</c:v>
                </c:pt>
                <c:pt idx="23">
                  <c:v>88.578934218286008</c:v>
                </c:pt>
                <c:pt idx="24">
                  <c:v>87.733232353642904</c:v>
                </c:pt>
                <c:pt idx="25">
                  <c:v>86.715709424625373</c:v>
                </c:pt>
                <c:pt idx="26">
                  <c:v>85.436239443643444</c:v>
                </c:pt>
                <c:pt idx="27">
                  <c:v>83.765002649926956</c:v>
                </c:pt>
                <c:pt idx="28">
                  <c:v>81.50831993391283</c:v>
                </c:pt>
                <c:pt idx="29">
                  <c:v>78.379381448178236</c:v>
                </c:pt>
                <c:pt idx="30">
                  <c:v>73.979408213873313</c:v>
                </c:pt>
                <c:pt idx="31">
                  <c:v>67.820783580058375</c:v>
                </c:pt>
                <c:pt idx="32">
                  <c:v>59.417306586846657</c:v>
                </c:pt>
                <c:pt idx="33">
                  <c:v>48.416724542938262</c:v>
                </c:pt>
                <c:pt idx="34">
                  <c:v>34.710079673038706</c:v>
                </c:pt>
                <c:pt idx="35">
                  <c:v>18.496684963318991</c:v>
                </c:pt>
                <c:pt idx="36">
                  <c:v>0.33699841539321918</c:v>
                </c:pt>
                <c:pt idx="37">
                  <c:v>-18.837110877351499</c:v>
                </c:pt>
                <c:pt idx="38">
                  <c:v>-37.872124906734882</c:v>
                </c:pt>
                <c:pt idx="39">
                  <c:v>-55.734470302321384</c:v>
                </c:pt>
                <c:pt idx="40">
                  <c:v>-71.856342376838128</c:v>
                </c:pt>
                <c:pt idx="41">
                  <c:v>-86.230116035679757</c:v>
                </c:pt>
                <c:pt idx="42">
                  <c:v>-99.199865541611913</c:v>
                </c:pt>
                <c:pt idx="43">
                  <c:v>-111.13504555481174</c:v>
                </c:pt>
                <c:pt idx="44">
                  <c:v>-122.20384711246011</c:v>
                </c:pt>
                <c:pt idx="45">
                  <c:v>-132.34000430630246</c:v>
                </c:pt>
                <c:pt idx="46">
                  <c:v>-141.36129091710961</c:v>
                </c:pt>
                <c:pt idx="47">
                  <c:v>-149.12054375371923</c:v>
                </c:pt>
                <c:pt idx="48">
                  <c:v>-155.58763466417676</c:v>
                </c:pt>
                <c:pt idx="49">
                  <c:v>-160.84593517294402</c:v>
                </c:pt>
                <c:pt idx="50">
                  <c:v>-165.04668952721502</c:v>
                </c:pt>
                <c:pt idx="51">
                  <c:v>-168.36335541241462</c:v>
                </c:pt>
                <c:pt idx="52">
                  <c:v>-170.96235185678381</c:v>
                </c:pt>
                <c:pt idx="53">
                  <c:v>-172.98942124333772</c:v>
                </c:pt>
                <c:pt idx="54">
                  <c:v>-174.5658625238087</c:v>
                </c:pt>
              </c:numCache>
            </c:numRef>
          </c:yVal>
          <c:smooth val="0"/>
          <c:extLst>
            <c:ext xmlns:c16="http://schemas.microsoft.com/office/drawing/2014/chart" uri="{C3380CC4-5D6E-409C-BE32-E72D297353CC}">
              <c16:uniqueId val="{0000000A-14C2-42E9-A41D-CEC5331D2AE6}"/>
            </c:ext>
          </c:extLst>
        </c:ser>
        <c:dLbls>
          <c:showLegendKey val="0"/>
          <c:showVal val="0"/>
          <c:showCatName val="0"/>
          <c:showSerName val="0"/>
          <c:showPercent val="0"/>
          <c:showBubbleSize val="0"/>
        </c:dLbls>
        <c:axId val="178879104"/>
        <c:axId val="178877184"/>
      </c:scatterChart>
      <c:valAx>
        <c:axId val="178864896"/>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78866816"/>
        <c:crosses val="autoZero"/>
        <c:crossBetween val="midCat"/>
      </c:valAx>
      <c:valAx>
        <c:axId val="1788668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78864896"/>
        <c:crosses val="autoZero"/>
        <c:crossBetween val="midCat"/>
        <c:majorUnit val="20"/>
      </c:valAx>
      <c:valAx>
        <c:axId val="178877184"/>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78879104"/>
        <c:crosses val="max"/>
        <c:crossBetween val="midCat"/>
        <c:majorUnit val="45"/>
      </c:valAx>
      <c:valAx>
        <c:axId val="178879104"/>
        <c:scaling>
          <c:logBase val="10"/>
          <c:orientation val="minMax"/>
        </c:scaling>
        <c:delete val="1"/>
        <c:axPos val="b"/>
        <c:numFmt formatCode="General" sourceLinked="1"/>
        <c:majorTickMark val="out"/>
        <c:minorTickMark val="none"/>
        <c:tickLblPos val="nextTo"/>
        <c:crossAx val="178877184"/>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a:t>
            </a:r>
            <a:endParaRPr lang="en-US"/>
          </a:p>
        </c:rich>
      </c:tx>
      <c:layout/>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67.630700649735303</c:v>
                </c:pt>
                <c:pt idx="1">
                  <c:v>65.408414243041619</c:v>
                </c:pt>
                <c:pt idx="2">
                  <c:v>63.18608495818458</c:v>
                </c:pt>
                <c:pt idx="3">
                  <c:v>60.963684154508549</c:v>
                </c:pt>
                <c:pt idx="4">
                  <c:v>58.741164067689773</c:v>
                </c:pt>
                <c:pt idx="5">
                  <c:v>56.518445053107484</c:v>
                </c:pt>
                <c:pt idx="6">
                  <c:v>54.295394341941147</c:v>
                </c:pt>
                <c:pt idx="7">
                  <c:v>52.071790702696497</c:v>
                </c:pt>
                <c:pt idx="8">
                  <c:v>49.847265766526014</c:v>
                </c:pt>
                <c:pt idx="9">
                  <c:v>47.621206910097712</c:v>
                </c:pt>
                <c:pt idx="10">
                  <c:v>45.39259735123661</c:v>
                </c:pt>
                <c:pt idx="11">
                  <c:v>43.159755188051044</c:v>
                </c:pt>
                <c:pt idx="12">
                  <c:v>40.91991389211141</c:v>
                </c:pt>
                <c:pt idx="13">
                  <c:v>38.668565278814377</c:v>
                </c:pt>
                <c:pt idx="14">
                  <c:v>36.398477014655178</c:v>
                </c:pt>
                <c:pt idx="15">
                  <c:v>34.09834574831946</c:v>
                </c:pt>
                <c:pt idx="16">
                  <c:v>31.751263355014778</c:v>
                </c:pt>
                <c:pt idx="17">
                  <c:v>29.333751519949217</c:v>
                </c:pt>
                <c:pt idx="18">
                  <c:v>26.817203216585781</c:v>
                </c:pt>
                <c:pt idx="19">
                  <c:v>24.174642657649322</c:v>
                </c:pt>
                <c:pt idx="20">
                  <c:v>21.394595265889716</c:v>
                </c:pt>
                <c:pt idx="21">
                  <c:v>18.497677670017389</c:v>
                </c:pt>
                <c:pt idx="22">
                  <c:v>15.543070621528887</c:v>
                </c:pt>
                <c:pt idx="23">
                  <c:v>12.613515282795845</c:v>
                </c:pt>
                <c:pt idx="24">
                  <c:v>9.7846992111581734</c:v>
                </c:pt>
                <c:pt idx="25">
                  <c:v>7.1005380457654788</c:v>
                </c:pt>
                <c:pt idx="26">
                  <c:v>4.5698538391670427</c:v>
                </c:pt>
                <c:pt idx="27">
                  <c:v>2.1799891905639974</c:v>
                </c:pt>
                <c:pt idx="28">
                  <c:v>-8.7735491933635182E-2</c:v>
                </c:pt>
                <c:pt idx="29">
                  <c:v>-2.2514516011883066</c:v>
                </c:pt>
                <c:pt idx="30">
                  <c:v>-4.3336956340744575</c:v>
                </c:pt>
                <c:pt idx="31">
                  <c:v>-6.374543419430073</c:v>
                </c:pt>
                <c:pt idx="32">
                  <c:v>-8.4436277967675526</c:v>
                </c:pt>
                <c:pt idx="33">
                  <c:v>-10.639196833049908</c:v>
                </c:pt>
                <c:pt idx="34">
                  <c:v>-13.071510242010334</c:v>
                </c:pt>
                <c:pt idx="35">
                  <c:v>-15.840765296566959</c:v>
                </c:pt>
                <c:pt idx="36">
                  <c:v>-19.017659027219139</c:v>
                </c:pt>
                <c:pt idx="37">
                  <c:v>-22.625897174227827</c:v>
                </c:pt>
                <c:pt idx="38">
                  <c:v>-26.632475003977664</c:v>
                </c:pt>
                <c:pt idx="39">
                  <c:v>-30.961215326471212</c:v>
                </c:pt>
                <c:pt idx="40">
                  <c:v>-35.530441219312486</c:v>
                </c:pt>
                <c:pt idx="41">
                  <c:v>-40.29052843467305</c:v>
                </c:pt>
                <c:pt idx="42">
                  <c:v>-45.237608596312846</c:v>
                </c:pt>
                <c:pt idx="43">
                  <c:v>-50.401478123641752</c:v>
                </c:pt>
                <c:pt idx="44">
                  <c:v>-55.819632051377361</c:v>
                </c:pt>
                <c:pt idx="45">
                  <c:v>-61.511197556835128</c:v>
                </c:pt>
                <c:pt idx="46">
                  <c:v>-67.463338102329999</c:v>
                </c:pt>
                <c:pt idx="47">
                  <c:v>-73.635661814983408</c:v>
                </c:pt>
                <c:pt idx="48">
                  <c:v>-79.975767680235663</c:v>
                </c:pt>
                <c:pt idx="49">
                  <c:v>-86.43390489716856</c:v>
                </c:pt>
                <c:pt idx="50">
                  <c:v>-92.970471852230702</c:v>
                </c:pt>
                <c:pt idx="51">
                  <c:v>-99.557193057381298</c:v>
                </c:pt>
                <c:pt idx="52">
                  <c:v>-106.17520299274008</c:v>
                </c:pt>
                <c:pt idx="53">
                  <c:v>-112.81243156931383</c:v>
                </c:pt>
                <c:pt idx="54">
                  <c:v>-119.46135238308949</c:v>
                </c:pt>
              </c:numCache>
            </c:numRef>
          </c:yVal>
          <c:smooth val="0"/>
          <c:extLst>
            <c:ext xmlns:c16="http://schemas.microsoft.com/office/drawing/2014/chart" uri="{C3380CC4-5D6E-409C-BE32-E72D297353CC}">
              <c16:uniqueId val="{00000000-31F7-45AC-AAD3-C931682B7E7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31F7-45AC-AAD3-C931682B7E76}"/>
              </c:ext>
            </c:extLst>
          </c:dPt>
          <c:dLbls>
            <c:dLbl>
              <c:idx val="0"/>
              <c:layout/>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31F7-45AC-AAD3-C931682B7E7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198.94367886486918</c:v>
                </c:pt>
              </c:numCache>
            </c:numRef>
          </c:xVal>
          <c:yVal>
            <c:numRef>
              <c:f>Compensation!$Z$137</c:f>
              <c:numCache>
                <c:formatCode>General</c:formatCode>
                <c:ptCount val="1"/>
                <c:pt idx="0">
                  <c:v>19.409519412812617</c:v>
                </c:pt>
              </c:numCache>
            </c:numRef>
          </c:yVal>
          <c:smooth val="0"/>
          <c:extLst>
            <c:ext xmlns:c16="http://schemas.microsoft.com/office/drawing/2014/chart" uri="{C3380CC4-5D6E-409C-BE32-E72D297353CC}">
              <c16:uniqueId val="{00000003-31F7-45AC-AAD3-C931682B7E76}"/>
            </c:ext>
          </c:extLst>
        </c:ser>
        <c:ser>
          <c:idx val="3"/>
          <c:order val="3"/>
          <c:tx>
            <c:v>Fzcomp</c:v>
          </c:tx>
          <c:marker>
            <c:symbol val="circle"/>
            <c:size val="9"/>
            <c:spPr>
              <a:noFill/>
              <a:ln w="22225">
                <a:solidFill>
                  <a:schemeClr val="tx1"/>
                </a:solidFill>
              </a:ln>
            </c:spPr>
          </c:marker>
          <c:dLbls>
            <c:dLbl>
              <c:idx val="0"/>
              <c:layout/>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31F7-45AC-AAD3-C931682B7E7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370.1277746323147</c:v>
                </c:pt>
              </c:numCache>
            </c:numRef>
          </c:xVal>
          <c:yVal>
            <c:numRef>
              <c:f>Compensation!$Z$135</c:f>
              <c:numCache>
                <c:formatCode>General</c:formatCode>
                <c:ptCount val="1"/>
                <c:pt idx="0">
                  <c:v>12.281430599037018</c:v>
                </c:pt>
              </c:numCache>
            </c:numRef>
          </c:yVal>
          <c:smooth val="0"/>
          <c:extLst>
            <c:ext xmlns:c16="http://schemas.microsoft.com/office/drawing/2014/chart" uri="{C3380CC4-5D6E-409C-BE32-E72D297353CC}">
              <c16:uniqueId val="{00000005-31F7-45AC-AAD3-C931682B7E76}"/>
            </c:ext>
          </c:extLst>
        </c:ser>
        <c:ser>
          <c:idx val="4"/>
          <c:order val="4"/>
          <c:tx>
            <c:v>Fpcomp</c:v>
          </c:tx>
          <c:marker>
            <c:symbol val="x"/>
            <c:size val="10"/>
            <c:spPr>
              <a:ln w="25400">
                <a:solidFill>
                  <a:schemeClr val="tx1"/>
                </a:solidFill>
              </a:ln>
            </c:spPr>
          </c:marker>
          <c:dLbls>
            <c:dLbl>
              <c:idx val="0"/>
              <c:layout/>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31F7-45AC-AAD3-C931682B7E76}"/>
                </c:ext>
              </c:extLst>
            </c:dLbl>
            <c:spPr>
              <a:noFill/>
              <a:ln>
                <a:noFill/>
              </a:ln>
              <a:effectLst/>
            </c:spPr>
            <c:txPr>
              <a:bodyPr/>
              <a:lstStyle/>
              <a:p>
                <a:pPr>
                  <a:defRPr sz="1200"/>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11215.993170676204</c:v>
                </c:pt>
              </c:numCache>
            </c:numRef>
          </c:xVal>
          <c:yVal>
            <c:numRef>
              <c:f>Compensation!$Z$136</c:f>
              <c:numCache>
                <c:formatCode>General</c:formatCode>
                <c:ptCount val="1"/>
                <c:pt idx="0">
                  <c:v>-20.583415698639396</c:v>
                </c:pt>
              </c:numCache>
            </c:numRef>
          </c:yVal>
          <c:smooth val="0"/>
          <c:extLst>
            <c:ext xmlns:c16="http://schemas.microsoft.com/office/drawing/2014/chart" uri="{C3380CC4-5D6E-409C-BE32-E72D297353CC}">
              <c16:uniqueId val="{00000007-31F7-45AC-AAD3-C931682B7E76}"/>
            </c:ext>
          </c:extLst>
        </c:ser>
        <c:dLbls>
          <c:showLegendKey val="0"/>
          <c:showVal val="0"/>
          <c:showCatName val="0"/>
          <c:showSerName val="0"/>
          <c:showPercent val="0"/>
          <c:showBubbleSize val="0"/>
        </c:dLbls>
        <c:axId val="187990400"/>
        <c:axId val="18799232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89.842722907887179</c:v>
                </c:pt>
                <c:pt idx="1">
                  <c:v>89.796871135545572</c:v>
                </c:pt>
                <c:pt idx="2">
                  <c:v>89.737653962268382</c:v>
                </c:pt>
                <c:pt idx="3">
                  <c:v>89.661177789391886</c:v>
                </c:pt>
                <c:pt idx="4">
                  <c:v>89.56241739478267</c:v>
                </c:pt>
                <c:pt idx="5">
                  <c:v>89.434890108131455</c:v>
                </c:pt>
                <c:pt idx="6">
                  <c:v>89.270239717197526</c:v>
                </c:pt>
                <c:pt idx="7">
                  <c:v>89.057709221517271</c:v>
                </c:pt>
                <c:pt idx="8">
                  <c:v>88.783481682658163</c:v>
                </c:pt>
                <c:pt idx="9">
                  <c:v>88.429875637663656</c:v>
                </c:pt>
                <c:pt idx="10">
                  <c:v>87.974405697234431</c:v>
                </c:pt>
                <c:pt idx="11">
                  <c:v>87.388780872672541</c:v>
                </c:pt>
                <c:pt idx="12">
                  <c:v>86.638055029807191</c:v>
                </c:pt>
                <c:pt idx="13">
                  <c:v>85.68044551141034</c:v>
                </c:pt>
                <c:pt idx="14">
                  <c:v>84.468930856060979</c:v>
                </c:pt>
                <c:pt idx="15">
                  <c:v>82.956790080270778</c:v>
                </c:pt>
                <c:pt idx="16">
                  <c:v>81.110747997250414</c:v>
                </c:pt>
                <c:pt idx="17">
                  <c:v>78.936473175121975</c:v>
                </c:pt>
                <c:pt idx="18">
                  <c:v>76.518642952245202</c:v>
                </c:pt>
                <c:pt idx="19">
                  <c:v>74.065414976651667</c:v>
                </c:pt>
                <c:pt idx="20">
                  <c:v>71.922450430601145</c:v>
                </c:pt>
                <c:pt idx="21">
                  <c:v>70.505680448002266</c:v>
                </c:pt>
                <c:pt idx="22">
                  <c:v>70.141623913513172</c:v>
                </c:pt>
                <c:pt idx="23">
                  <c:v>70.900070526740635</c:v>
                </c:pt>
                <c:pt idx="24">
                  <c:v>72.548865290302302</c:v>
                </c:pt>
                <c:pt idx="25">
                  <c:v>74.667238404696334</c:v>
                </c:pt>
                <c:pt idx="26">
                  <c:v>76.816413376005045</c:v>
                </c:pt>
                <c:pt idx="27">
                  <c:v>78.641932596422166</c:v>
                </c:pt>
                <c:pt idx="28">
                  <c:v>79.870497176078842</c:v>
                </c:pt>
                <c:pt idx="29">
                  <c:v>80.243938393476625</c:v>
                </c:pt>
                <c:pt idx="30">
                  <c:v>79.453244633377622</c:v>
                </c:pt>
                <c:pt idx="31">
                  <c:v>77.129260996132629</c:v>
                </c:pt>
                <c:pt idx="32">
                  <c:v>72.923028126169484</c:v>
                </c:pt>
                <c:pt idx="33">
                  <c:v>66.644596439412155</c:v>
                </c:pt>
                <c:pt idx="34">
                  <c:v>58.368620016026355</c:v>
                </c:pt>
                <c:pt idx="35">
                  <c:v>48.451287927256203</c:v>
                </c:pt>
                <c:pt idx="36">
                  <c:v>37.483579211778689</c:v>
                </c:pt>
                <c:pt idx="37">
                  <c:v>26.191491190681301</c:v>
                </c:pt>
                <c:pt idx="38">
                  <c:v>15.249132424809659</c:v>
                </c:pt>
                <c:pt idx="39">
                  <c:v>5.0515278817610589</c:v>
                </c:pt>
                <c:pt idx="40">
                  <c:v>-4.3922366747571848</c:v>
                </c:pt>
                <c:pt idx="41">
                  <c:v>-13.352761121674304</c:v>
                </c:pt>
                <c:pt idx="42">
                  <c:v>-22.150159732015375</c:v>
                </c:pt>
                <c:pt idx="43">
                  <c:v>-30.951518387720544</c:v>
                </c:pt>
                <c:pt idx="44">
                  <c:v>-39.681604789137097</c:v>
                </c:pt>
                <c:pt idx="45">
                  <c:v>-48.064608916434608</c:v>
                </c:pt>
                <c:pt idx="46">
                  <c:v>-55.760996816136675</c:v>
                </c:pt>
                <c:pt idx="47">
                  <c:v>-62.511261575679981</c:v>
                </c:pt>
                <c:pt idx="48">
                  <c:v>-68.205429864350151</c:v>
                </c:pt>
                <c:pt idx="49">
                  <c:v>-72.869265964273623</c:v>
                </c:pt>
                <c:pt idx="50">
                  <c:v>-76.611629509228067</c:v>
                </c:pt>
                <c:pt idx="51">
                  <c:v>-79.574261930315288</c:v>
                </c:pt>
                <c:pt idx="52">
                  <c:v>-81.899554719425183</c:v>
                </c:pt>
                <c:pt idx="53">
                  <c:v>-83.714896954769387</c:v>
                </c:pt>
                <c:pt idx="54">
                  <c:v>-85.12749470943227</c:v>
                </c:pt>
              </c:numCache>
            </c:numRef>
          </c:yVal>
          <c:smooth val="0"/>
          <c:extLst>
            <c:ext xmlns:c16="http://schemas.microsoft.com/office/drawing/2014/chart" uri="{C3380CC4-5D6E-409C-BE32-E72D297353CC}">
              <c16:uniqueId val="{00000008-31F7-45AC-AAD3-C931682B7E76}"/>
            </c:ext>
          </c:extLst>
        </c:ser>
        <c:dLbls>
          <c:showLegendKey val="0"/>
          <c:showVal val="0"/>
          <c:showCatName val="0"/>
          <c:showSerName val="0"/>
          <c:showPercent val="0"/>
          <c:showBubbleSize val="0"/>
        </c:dLbls>
        <c:axId val="195000960"/>
        <c:axId val="188226176"/>
      </c:scatterChart>
      <c:valAx>
        <c:axId val="1879904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layout/>
          <c:overlay val="0"/>
        </c:title>
        <c:numFmt formatCode="General" sourceLinked="1"/>
        <c:majorTickMark val="out"/>
        <c:minorTickMark val="cross"/>
        <c:tickLblPos val="low"/>
        <c:crossAx val="187992320"/>
        <c:crosses val="autoZero"/>
        <c:crossBetween val="midCat"/>
      </c:valAx>
      <c:valAx>
        <c:axId val="187992320"/>
        <c:scaling>
          <c:orientation val="minMax"/>
          <c:max val="60"/>
          <c:min val="-40"/>
        </c:scaling>
        <c:delete val="0"/>
        <c:axPos val="l"/>
        <c:majorGridlines/>
        <c:title>
          <c:tx>
            <c:rich>
              <a:bodyPr rot="-5400000" vert="horz"/>
              <a:lstStyle/>
              <a:p>
                <a:pPr>
                  <a:defRPr/>
                </a:pPr>
                <a:r>
                  <a:rPr lang="en-US"/>
                  <a:t>Loop Gain (dB)</a:t>
                </a:r>
              </a:p>
            </c:rich>
          </c:tx>
          <c:layout/>
          <c:overlay val="0"/>
        </c:title>
        <c:numFmt formatCode="General" sourceLinked="1"/>
        <c:majorTickMark val="out"/>
        <c:minorTickMark val="none"/>
        <c:tickLblPos val="nextTo"/>
        <c:crossAx val="187990400"/>
        <c:crosses val="autoZero"/>
        <c:crossBetween val="midCat"/>
        <c:majorUnit val="20"/>
      </c:valAx>
      <c:valAx>
        <c:axId val="188226176"/>
        <c:scaling>
          <c:orientation val="minMax"/>
          <c:max val="180"/>
          <c:min val="-180"/>
        </c:scaling>
        <c:delete val="0"/>
        <c:axPos val="r"/>
        <c:title>
          <c:tx>
            <c:rich>
              <a:bodyPr rot="-5400000" vert="horz"/>
              <a:lstStyle/>
              <a:p>
                <a:pPr>
                  <a:defRPr/>
                </a:pPr>
                <a:r>
                  <a:rPr lang="en-US"/>
                  <a:t>Loop Phase Margin (deg)</a:t>
                </a:r>
              </a:p>
            </c:rich>
          </c:tx>
          <c:layout/>
          <c:overlay val="0"/>
        </c:title>
        <c:numFmt formatCode="General" sourceLinked="1"/>
        <c:majorTickMark val="out"/>
        <c:minorTickMark val="none"/>
        <c:tickLblPos val="nextTo"/>
        <c:crossAx val="195000960"/>
        <c:crosses val="max"/>
        <c:crossBetween val="midCat"/>
        <c:majorUnit val="45"/>
      </c:valAx>
      <c:valAx>
        <c:axId val="195000960"/>
        <c:scaling>
          <c:logBase val="10"/>
          <c:orientation val="minMax"/>
        </c:scaling>
        <c:delete val="1"/>
        <c:axPos val="b"/>
        <c:numFmt formatCode="General" sourceLinked="1"/>
        <c:majorTickMark val="out"/>
        <c:minorTickMark val="none"/>
        <c:tickLblPos val="nextTo"/>
        <c:crossAx val="18822617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Boost Mode Voltage Loop  </a:t>
            </a:r>
            <a:endParaRPr lang="en-US"/>
          </a:p>
        </c:rich>
      </c:tx>
      <c:layout/>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61.962847985568736</c:v>
                </c:pt>
                <c:pt idx="1">
                  <c:v>59.745440374742074</c:v>
                </c:pt>
                <c:pt idx="2">
                  <c:v>57.531205267872807</c:v>
                </c:pt>
                <c:pt idx="3">
                  <c:v>55.322184936865149</c:v>
                </c:pt>
                <c:pt idx="4">
                  <c:v>53.121653312055308</c:v>
                </c:pt>
                <c:pt idx="5">
                  <c:v>50.93471936129211</c:v>
                </c:pt>
                <c:pt idx="6">
                  <c:v>48.768999368936406</c:v>
                </c:pt>
                <c:pt idx="7">
                  <c:v>46.634983065802622</c:v>
                </c:pt>
                <c:pt idx="8">
                  <c:v>44.545177162892003</c:v>
                </c:pt>
                <c:pt idx="9">
                  <c:v>42.510568131849276</c:v>
                </c:pt>
                <c:pt idx="10">
                  <c:v>40.533611684799276</c:v>
                </c:pt>
                <c:pt idx="11">
                  <c:v>38.600566345632529</c:v>
                </c:pt>
                <c:pt idx="12">
                  <c:v>36.68071632915143</c:v>
                </c:pt>
                <c:pt idx="13">
                  <c:v>34.737510834667823</c:v>
                </c:pt>
                <c:pt idx="14">
                  <c:v>32.74453506802039</c:v>
                </c:pt>
                <c:pt idx="15">
                  <c:v>30.693319819471874</c:v>
                </c:pt>
                <c:pt idx="16">
                  <c:v>28.589712846173711</c:v>
                </c:pt>
                <c:pt idx="17">
                  <c:v>26.445801173666389</c:v>
                </c:pt>
                <c:pt idx="18">
                  <c:v>24.273863795179746</c:v>
                </c:pt>
                <c:pt idx="19">
                  <c:v>22.083802764856134</c:v>
                </c:pt>
                <c:pt idx="20">
                  <c:v>19.88283625417035</c:v>
                </c:pt>
                <c:pt idx="21">
                  <c:v>17.676120169016379</c:v>
                </c:pt>
                <c:pt idx="22">
                  <c:v>15.467585489412761</c:v>
                </c:pt>
                <c:pt idx="23">
                  <c:v>13.260756361247841</c:v>
                </c:pt>
                <c:pt idx="24">
                  <c:v>11.059541284104791</c:v>
                </c:pt>
                <c:pt idx="25">
                  <c:v>8.8690527062585041</c:v>
                </c:pt>
                <c:pt idx="26">
                  <c:v>6.6964529925357121</c:v>
                </c:pt>
                <c:pt idx="27">
                  <c:v>4.551603351401277</c:v>
                </c:pt>
                <c:pt idx="28">
                  <c:v>2.4468098682843347</c:v>
                </c:pt>
                <c:pt idx="29">
                  <c:v>0.39428134704553808</c:v>
                </c:pt>
                <c:pt idx="30">
                  <c:v>-1.6001601278316493</c:v>
                </c:pt>
                <c:pt idx="31">
                  <c:v>-3.5461756173794754</c:v>
                </c:pt>
                <c:pt idx="32">
                  <c:v>-5.4746494537046475</c:v>
                </c:pt>
                <c:pt idx="33">
                  <c:v>-7.4322900726324717</c:v>
                </c:pt>
                <c:pt idx="34">
                  <c:v>-9.466908012400717</c:v>
                </c:pt>
                <c:pt idx="35">
                  <c:v>-11.616108951018822</c:v>
                </c:pt>
                <c:pt idx="36">
                  <c:v>-13.90635580523977</c:v>
                </c:pt>
                <c:pt idx="37">
                  <c:v>-16.354361902420877</c:v>
                </c:pt>
                <c:pt idx="38">
                  <c:v>-18.961254957621666</c:v>
                </c:pt>
                <c:pt idx="39">
                  <c:v>-21.705343136627459</c:v>
                </c:pt>
                <c:pt idx="40">
                  <c:v>-24.550348120491009</c:v>
                </c:pt>
                <c:pt idx="41">
                  <c:v>-27.471754956655797</c:v>
                </c:pt>
                <c:pt idx="42">
                  <c:v>-30.480154815187305</c:v>
                </c:pt>
                <c:pt idx="43">
                  <c:v>-33.620712540912052</c:v>
                </c:pt>
                <c:pt idx="44">
                  <c:v>-36.949563771200211</c:v>
                </c:pt>
                <c:pt idx="45">
                  <c:v>-40.504429309216917</c:v>
                </c:pt>
                <c:pt idx="46">
                  <c:v>-44.287933750663797</c:v>
                </c:pt>
                <c:pt idx="47">
                  <c:v>-48.271034485279301</c:v>
                </c:pt>
                <c:pt idx="48">
                  <c:v>-52.409021657543974</c:v>
                </c:pt>
                <c:pt idx="49">
                  <c:v>-56.657104374775081</c:v>
                </c:pt>
                <c:pt idx="50">
                  <c:v>-60.978785108735295</c:v>
                </c:pt>
                <c:pt idx="51">
                  <c:v>-65.347696837151716</c:v>
                </c:pt>
                <c:pt idx="52">
                  <c:v>-69.746135273929383</c:v>
                </c:pt>
                <c:pt idx="53">
                  <c:v>-74.162732615410192</c:v>
                </c:pt>
                <c:pt idx="54">
                  <c:v>-78.590385667886267</c:v>
                </c:pt>
              </c:numCache>
            </c:numRef>
          </c:yVal>
          <c:smooth val="1"/>
          <c:extLst>
            <c:ext xmlns:c16="http://schemas.microsoft.com/office/drawing/2014/chart" uri="{C3380CC4-5D6E-409C-BE32-E72D297353CC}">
              <c16:uniqueId val="{00000000-ED75-49C8-8AF9-7567950C0D6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ED75-49C8-8AF9-7567950C0D69}"/>
              </c:ext>
            </c:extLst>
          </c:dPt>
          <c:dLbls>
            <c:dLbl>
              <c:idx val="0"/>
              <c:layout/>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ED75-49C8-8AF9-7567950C0D6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21.045281731159719</c:v>
                </c:pt>
              </c:numCache>
            </c:numRef>
          </c:xVal>
          <c:yVal>
            <c:numRef>
              <c:f>Compensation!$Z$227</c:f>
              <c:numCache>
                <c:formatCode>General</c:formatCode>
                <c:ptCount val="1"/>
                <c:pt idx="0">
                  <c:v>36.857036836131364</c:v>
                </c:pt>
              </c:numCache>
            </c:numRef>
          </c:yVal>
          <c:smooth val="0"/>
          <c:extLst>
            <c:ext xmlns:c16="http://schemas.microsoft.com/office/drawing/2014/chart" uri="{C3380CC4-5D6E-409C-BE32-E72D297353CC}">
              <c16:uniqueId val="{00000003-ED75-49C8-8AF9-7567950C0D69}"/>
            </c:ext>
          </c:extLst>
        </c:ser>
        <c:ser>
          <c:idx val="3"/>
          <c:order val="3"/>
          <c:tx>
            <c:v>Fzcomp</c:v>
          </c:tx>
          <c:marker>
            <c:symbol val="circle"/>
            <c:size val="9"/>
            <c:spPr>
              <a:noFill/>
              <a:ln w="22225">
                <a:solidFill>
                  <a:schemeClr val="tx1"/>
                </a:solidFill>
              </a:ln>
            </c:spPr>
          </c:marker>
          <c:dLbls>
            <c:dLbl>
              <c:idx val="0"/>
              <c:layout/>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ED75-49C8-8AF9-7567950C0D6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15.915494309189533</c:v>
                </c:pt>
              </c:numCache>
            </c:numRef>
          </c:xVal>
          <c:yVal>
            <c:numRef>
              <c:f>Compensation!$Z$225</c:f>
              <c:numCache>
                <c:formatCode>General</c:formatCode>
                <c:ptCount val="1"/>
                <c:pt idx="0">
                  <c:v>38.953438413292837</c:v>
                </c:pt>
              </c:numCache>
            </c:numRef>
          </c:yVal>
          <c:smooth val="0"/>
          <c:extLst>
            <c:ext xmlns:c16="http://schemas.microsoft.com/office/drawing/2014/chart" uri="{C3380CC4-5D6E-409C-BE32-E72D297353CC}">
              <c16:uniqueId val="{00000005-ED75-49C8-8AF9-7567950C0D69}"/>
            </c:ext>
          </c:extLst>
        </c:ser>
        <c:ser>
          <c:idx val="4"/>
          <c:order val="4"/>
          <c:tx>
            <c:v>Fpcomp</c:v>
          </c:tx>
          <c:marker>
            <c:symbol val="x"/>
            <c:size val="10"/>
            <c:spPr>
              <a:ln w="25400">
                <a:solidFill>
                  <a:schemeClr val="tx1"/>
                </a:solidFill>
              </a:ln>
            </c:spPr>
          </c:marker>
          <c:dLbls>
            <c:dLbl>
              <c:idx val="0"/>
              <c:layout/>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ED75-49C8-8AF9-7567950C0D69}"/>
                </c:ext>
              </c:extLst>
            </c:dLbl>
            <c:spPr>
              <a:noFill/>
              <a:ln>
                <a:noFill/>
              </a:ln>
              <a:effectLst/>
            </c:spPr>
            <c:txPr>
              <a:bodyPr/>
              <a:lstStyle/>
              <a:p>
                <a:pPr>
                  <a:defRPr sz="1200"/>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15915.494309189533</c:v>
                </c:pt>
              </c:numCache>
            </c:numRef>
          </c:xVal>
          <c:yVal>
            <c:numRef>
              <c:f>Compensation!$Z$226</c:f>
              <c:numCache>
                <c:formatCode>General</c:formatCode>
                <c:ptCount val="1"/>
                <c:pt idx="0">
                  <c:v>-18.471348268357765</c:v>
                </c:pt>
              </c:numCache>
            </c:numRef>
          </c:yVal>
          <c:smooth val="0"/>
          <c:extLst>
            <c:ext xmlns:c16="http://schemas.microsoft.com/office/drawing/2014/chart" uri="{C3380CC4-5D6E-409C-BE32-E72D297353CC}">
              <c16:uniqueId val="{00000007-ED75-49C8-8AF9-7567950C0D69}"/>
            </c:ext>
          </c:extLst>
        </c:ser>
        <c:ser>
          <c:idx val="5"/>
          <c:order val="5"/>
          <c:tx>
            <c:v>FRHPZERO</c:v>
          </c:tx>
          <c:spPr>
            <a:ln>
              <a:solidFill>
                <a:srgbClr val="FFC000"/>
              </a:solidFill>
            </a:ln>
          </c:spPr>
          <c:marker>
            <c:symbol val="circle"/>
            <c:size val="10"/>
            <c:spPr>
              <a:noFill/>
              <a:ln w="28575">
                <a:solidFill>
                  <a:srgbClr val="FF0000"/>
                </a:solidFill>
              </a:ln>
            </c:spPr>
          </c:marker>
          <c:dLbls>
            <c:dLbl>
              <c:idx val="0"/>
              <c:layout/>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ED75-49C8-8AF9-7567950C0D69}"/>
                </c:ext>
              </c:extLst>
            </c:dLbl>
            <c:spPr>
              <a:noFill/>
              <a:ln>
                <a:noFill/>
              </a:ln>
              <a:effectLst/>
            </c:spPr>
            <c:txPr>
              <a:bodyPr/>
              <a:lstStyle/>
              <a:p>
                <a:pPr>
                  <a:defRPr sz="1400"/>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5261.3204327899293</c:v>
                </c:pt>
              </c:numCache>
            </c:numRef>
          </c:xVal>
          <c:yVal>
            <c:numRef>
              <c:f>Compensation!$Z$228</c:f>
              <c:numCache>
                <c:formatCode>General</c:formatCode>
                <c:ptCount val="1"/>
                <c:pt idx="0">
                  <c:v>-8.4167073265322703</c:v>
                </c:pt>
              </c:numCache>
            </c:numRef>
          </c:yVal>
          <c:smooth val="0"/>
          <c:extLst>
            <c:ext xmlns:c16="http://schemas.microsoft.com/office/drawing/2014/chart" uri="{C3380CC4-5D6E-409C-BE32-E72D297353CC}">
              <c16:uniqueId val="{00000009-ED75-49C8-8AF9-7567950C0D69}"/>
            </c:ext>
          </c:extLst>
        </c:ser>
        <c:dLbls>
          <c:showLegendKey val="0"/>
          <c:showVal val="0"/>
          <c:showCatName val="0"/>
          <c:showSerName val="0"/>
          <c:showPercent val="0"/>
          <c:showBubbleSize val="0"/>
        </c:dLbls>
        <c:axId val="205768960"/>
        <c:axId val="2057756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90.858521085774441</c:v>
                </c:pt>
                <c:pt idx="1">
                  <c:v>91.106541931214721</c:v>
                </c:pt>
                <c:pt idx="2">
                  <c:v>91.424267595925159</c:v>
                </c:pt>
                <c:pt idx="3">
                  <c:v>91.829082289384672</c:v>
                </c:pt>
                <c:pt idx="4">
                  <c:v>92.340222033513683</c:v>
                </c:pt>
                <c:pt idx="5">
                  <c:v>92.976029958263339</c:v>
                </c:pt>
                <c:pt idx="6">
                  <c:v>93.74761063716366</c:v>
                </c:pt>
                <c:pt idx="7">
                  <c:v>94.646651372226785</c:v>
                </c:pt>
                <c:pt idx="8">
                  <c:v>95.626494810520668</c:v>
                </c:pt>
                <c:pt idx="9">
                  <c:v>96.582037032993867</c:v>
                </c:pt>
                <c:pt idx="10">
                  <c:v>97.347321382623221</c:v>
                </c:pt>
                <c:pt idx="11">
                  <c:v>97.737558776657465</c:v>
                </c:pt>
                <c:pt idx="12">
                  <c:v>97.635044027111761</c:v>
                </c:pt>
                <c:pt idx="13">
                  <c:v>97.059232631913304</c:v>
                </c:pt>
                <c:pt idx="14">
                  <c:v>96.152870488280485</c:v>
                </c:pt>
                <c:pt idx="15">
                  <c:v>95.098422011449387</c:v>
                </c:pt>
                <c:pt idx="16">
                  <c:v>94.041049718944649</c:v>
                </c:pt>
                <c:pt idx="17">
                  <c:v>93.06122459589001</c:v>
                </c:pt>
                <c:pt idx="18">
                  <c:v>92.184623296387528</c:v>
                </c:pt>
                <c:pt idx="19">
                  <c:v>91.402613312100442</c:v>
                </c:pt>
                <c:pt idx="20">
                  <c:v>90.688659914589394</c:v>
                </c:pt>
                <c:pt idx="21">
                  <c:v>90.007619098916123</c:v>
                </c:pt>
                <c:pt idx="22">
                  <c:v>89.319408954647344</c:v>
                </c:pt>
                <c:pt idx="23">
                  <c:v>88.578934218286008</c:v>
                </c:pt>
                <c:pt idx="24">
                  <c:v>87.733232353642904</c:v>
                </c:pt>
                <c:pt idx="25">
                  <c:v>86.715709424625373</c:v>
                </c:pt>
                <c:pt idx="26">
                  <c:v>85.436239443643444</c:v>
                </c:pt>
                <c:pt idx="27">
                  <c:v>83.765002649926956</c:v>
                </c:pt>
                <c:pt idx="28">
                  <c:v>81.50831993391283</c:v>
                </c:pt>
                <c:pt idx="29">
                  <c:v>78.379381448178236</c:v>
                </c:pt>
                <c:pt idx="30">
                  <c:v>73.979408213873313</c:v>
                </c:pt>
                <c:pt idx="31">
                  <c:v>67.820783580058375</c:v>
                </c:pt>
                <c:pt idx="32">
                  <c:v>59.417306586846657</c:v>
                </c:pt>
                <c:pt idx="33">
                  <c:v>48.416724542938262</c:v>
                </c:pt>
                <c:pt idx="34">
                  <c:v>34.710079673038706</c:v>
                </c:pt>
                <c:pt idx="35">
                  <c:v>18.496684963318991</c:v>
                </c:pt>
                <c:pt idx="36">
                  <c:v>0.33699841539321918</c:v>
                </c:pt>
                <c:pt idx="37">
                  <c:v>-18.837110877351499</c:v>
                </c:pt>
                <c:pt idx="38">
                  <c:v>-37.872124906734882</c:v>
                </c:pt>
                <c:pt idx="39">
                  <c:v>-55.734470302321384</c:v>
                </c:pt>
                <c:pt idx="40">
                  <c:v>-71.856342376838128</c:v>
                </c:pt>
                <c:pt idx="41">
                  <c:v>-86.230116035679757</c:v>
                </c:pt>
                <c:pt idx="42">
                  <c:v>-99.199865541611913</c:v>
                </c:pt>
                <c:pt idx="43">
                  <c:v>-111.13504555481174</c:v>
                </c:pt>
                <c:pt idx="44">
                  <c:v>-122.20384711246011</c:v>
                </c:pt>
                <c:pt idx="45">
                  <c:v>-132.34000430630246</c:v>
                </c:pt>
                <c:pt idx="46">
                  <c:v>-141.36129091710961</c:v>
                </c:pt>
                <c:pt idx="47">
                  <c:v>-149.12054375371923</c:v>
                </c:pt>
                <c:pt idx="48">
                  <c:v>-155.58763466417676</c:v>
                </c:pt>
                <c:pt idx="49">
                  <c:v>-160.84593517294402</c:v>
                </c:pt>
                <c:pt idx="50">
                  <c:v>-165.04668952721502</c:v>
                </c:pt>
                <c:pt idx="51">
                  <c:v>-168.36335541241462</c:v>
                </c:pt>
                <c:pt idx="52">
                  <c:v>-170.96235185678381</c:v>
                </c:pt>
                <c:pt idx="53">
                  <c:v>-172.98942124333772</c:v>
                </c:pt>
                <c:pt idx="54">
                  <c:v>-174.5658625238087</c:v>
                </c:pt>
              </c:numCache>
            </c:numRef>
          </c:yVal>
          <c:smooth val="1"/>
          <c:extLst>
            <c:ext xmlns:c16="http://schemas.microsoft.com/office/drawing/2014/chart" uri="{C3380CC4-5D6E-409C-BE32-E72D297353CC}">
              <c16:uniqueId val="{0000000A-ED75-49C8-8AF9-7567950C0D69}"/>
            </c:ext>
          </c:extLst>
        </c:ser>
        <c:dLbls>
          <c:showLegendKey val="0"/>
          <c:showVal val="0"/>
          <c:showCatName val="0"/>
          <c:showSerName val="0"/>
          <c:showPercent val="0"/>
          <c:showBubbleSize val="0"/>
        </c:dLbls>
        <c:axId val="205821440"/>
        <c:axId val="205777920"/>
      </c:scatterChart>
      <c:valAx>
        <c:axId val="20576896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layout/>
          <c:overlay val="0"/>
        </c:title>
        <c:numFmt formatCode="General" sourceLinked="1"/>
        <c:majorTickMark val="out"/>
        <c:minorTickMark val="cross"/>
        <c:tickLblPos val="low"/>
        <c:crossAx val="205775616"/>
        <c:crosses val="autoZero"/>
        <c:crossBetween val="midCat"/>
      </c:valAx>
      <c:valAx>
        <c:axId val="205775616"/>
        <c:scaling>
          <c:orientation val="minMax"/>
          <c:max val="60"/>
          <c:min val="-40"/>
        </c:scaling>
        <c:delete val="0"/>
        <c:axPos val="l"/>
        <c:majorGridlines/>
        <c:title>
          <c:tx>
            <c:rich>
              <a:bodyPr rot="-5400000" vert="horz"/>
              <a:lstStyle/>
              <a:p>
                <a:pPr>
                  <a:defRPr/>
                </a:pPr>
                <a:r>
                  <a:rPr lang="en-US"/>
                  <a:t>Loop Gain (dB)</a:t>
                </a:r>
              </a:p>
            </c:rich>
          </c:tx>
          <c:layout/>
          <c:overlay val="0"/>
        </c:title>
        <c:numFmt formatCode="General" sourceLinked="1"/>
        <c:majorTickMark val="out"/>
        <c:minorTickMark val="none"/>
        <c:tickLblPos val="nextTo"/>
        <c:crossAx val="205768960"/>
        <c:crosses val="autoZero"/>
        <c:crossBetween val="midCat"/>
        <c:majorUnit val="20"/>
      </c:valAx>
      <c:valAx>
        <c:axId val="205777920"/>
        <c:scaling>
          <c:orientation val="minMax"/>
          <c:max val="180"/>
          <c:min val="-180"/>
        </c:scaling>
        <c:delete val="0"/>
        <c:axPos val="r"/>
        <c:title>
          <c:tx>
            <c:rich>
              <a:bodyPr rot="-5400000" vert="horz"/>
              <a:lstStyle/>
              <a:p>
                <a:pPr>
                  <a:defRPr/>
                </a:pPr>
                <a:r>
                  <a:rPr lang="en-US"/>
                  <a:t>Loop Phase Margin (deg)</a:t>
                </a:r>
              </a:p>
            </c:rich>
          </c:tx>
          <c:layout/>
          <c:overlay val="0"/>
        </c:title>
        <c:numFmt formatCode="General" sourceLinked="1"/>
        <c:majorTickMark val="out"/>
        <c:minorTickMark val="none"/>
        <c:tickLblPos val="nextTo"/>
        <c:crossAx val="205821440"/>
        <c:crosses val="max"/>
        <c:crossBetween val="midCat"/>
        <c:majorUnit val="45"/>
      </c:valAx>
      <c:valAx>
        <c:axId val="205821440"/>
        <c:scaling>
          <c:logBase val="10"/>
          <c:orientation val="minMax"/>
        </c:scaling>
        <c:delete val="1"/>
        <c:axPos val="b"/>
        <c:numFmt formatCode="General" sourceLinked="1"/>
        <c:majorTickMark val="out"/>
        <c:minorTickMark val="none"/>
        <c:tickLblPos val="nextTo"/>
        <c:crossAx val="205777920"/>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layout/>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0.6089334939055332</c:v>
                </c:pt>
                <c:pt idx="2">
                  <c:v>0.81818181818181812</c:v>
                </c:pt>
                <c:pt idx="3">
                  <c:v>0.81818181818181812</c:v>
                </c:pt>
                <c:pt idx="4">
                  <c:v>0.81818181818181812</c:v>
                </c:pt>
                <c:pt idx="5">
                  <c:v>0.81818181818181812</c:v>
                </c:pt>
                <c:pt idx="6">
                  <c:v>0.81818181818181812</c:v>
                </c:pt>
                <c:pt idx="7">
                  <c:v>0.81818181818181812</c:v>
                </c:pt>
                <c:pt idx="8">
                  <c:v>0.81818181818181812</c:v>
                </c:pt>
                <c:pt idx="9">
                  <c:v>0.81818181818181812</c:v>
                </c:pt>
                <c:pt idx="10">
                  <c:v>0.81818181818181812</c:v>
                </c:pt>
                <c:pt idx="11">
                  <c:v>0.81818181818181812</c:v>
                </c:pt>
                <c:pt idx="12">
                  <c:v>0.81818181818181812</c:v>
                </c:pt>
                <c:pt idx="13">
                  <c:v>0.81818181818181812</c:v>
                </c:pt>
                <c:pt idx="14">
                  <c:v>0.81818181818181812</c:v>
                </c:pt>
                <c:pt idx="15">
                  <c:v>0.81818181818181812</c:v>
                </c:pt>
                <c:pt idx="16">
                  <c:v>0.81818181818181812</c:v>
                </c:pt>
                <c:pt idx="17">
                  <c:v>0.81818181818181812</c:v>
                </c:pt>
                <c:pt idx="18">
                  <c:v>0.81818181818181812</c:v>
                </c:pt>
                <c:pt idx="19">
                  <c:v>0.81818181818181812</c:v>
                </c:pt>
                <c:pt idx="20">
                  <c:v>0.81818181818181812</c:v>
                </c:pt>
                <c:pt idx="21">
                  <c:v>0.81818181818181812</c:v>
                </c:pt>
                <c:pt idx="22">
                  <c:v>0.81818181818181812</c:v>
                </c:pt>
                <c:pt idx="23">
                  <c:v>0.81818181818181812</c:v>
                </c:pt>
                <c:pt idx="24">
                  <c:v>0.81818181818181812</c:v>
                </c:pt>
                <c:pt idx="25">
                  <c:v>0.81818181818181812</c:v>
                </c:pt>
                <c:pt idx="26">
                  <c:v>0.81818181818181812</c:v>
                </c:pt>
                <c:pt idx="27">
                  <c:v>0.81818181818181812</c:v>
                </c:pt>
                <c:pt idx="28">
                  <c:v>0.81818181818181812</c:v>
                </c:pt>
                <c:pt idx="29">
                  <c:v>0.81818181818181812</c:v>
                </c:pt>
                <c:pt idx="30">
                  <c:v>0.81818181818181812</c:v>
                </c:pt>
                <c:pt idx="31">
                  <c:v>0.81818181818181812</c:v>
                </c:pt>
                <c:pt idx="32">
                  <c:v>0.81818181818181812</c:v>
                </c:pt>
                <c:pt idx="33">
                  <c:v>0.81818181818181812</c:v>
                </c:pt>
                <c:pt idx="34">
                  <c:v>0.81818181818181812</c:v>
                </c:pt>
                <c:pt idx="35">
                  <c:v>0.81818181818181812</c:v>
                </c:pt>
                <c:pt idx="36">
                  <c:v>0.81818181818181812</c:v>
                </c:pt>
                <c:pt idx="37">
                  <c:v>0.81818181818181812</c:v>
                </c:pt>
                <c:pt idx="38">
                  <c:v>0.81818181818181812</c:v>
                </c:pt>
                <c:pt idx="39">
                  <c:v>0.81818181818181812</c:v>
                </c:pt>
                <c:pt idx="40">
                  <c:v>0.81818181818181812</c:v>
                </c:pt>
                <c:pt idx="41">
                  <c:v>0.81818181818181812</c:v>
                </c:pt>
                <c:pt idx="42">
                  <c:v>0.81818181818181812</c:v>
                </c:pt>
                <c:pt idx="43">
                  <c:v>0.81818181818181812</c:v>
                </c:pt>
                <c:pt idx="44">
                  <c:v>0.81818181818181812</c:v>
                </c:pt>
                <c:pt idx="45">
                  <c:v>0.81818181818181812</c:v>
                </c:pt>
                <c:pt idx="46">
                  <c:v>0.81818181818181812</c:v>
                </c:pt>
                <c:pt idx="47">
                  <c:v>0.81818181818181812</c:v>
                </c:pt>
                <c:pt idx="48">
                  <c:v>0.81818181818181812</c:v>
                </c:pt>
                <c:pt idx="49">
                  <c:v>0.81818181818181812</c:v>
                </c:pt>
                <c:pt idx="50">
                  <c:v>0.81818181818181812</c:v>
                </c:pt>
              </c:numCache>
            </c:numRef>
          </c:yVal>
          <c:smooth val="1"/>
          <c:extLst>
            <c:ext xmlns:c16="http://schemas.microsoft.com/office/drawing/2014/chart" uri="{C3380CC4-5D6E-409C-BE32-E72D297353CC}">
              <c16:uniqueId val="{00000000-8364-46AE-A3E0-7BFABE7F42FC}"/>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0.54338445567265414</c:v>
                </c:pt>
                <c:pt idx="2">
                  <c:v>0.7684616667949894</c:v>
                </c:pt>
                <c:pt idx="3">
                  <c:v>0.78181818181818186</c:v>
                </c:pt>
                <c:pt idx="4">
                  <c:v>0.78181818181818186</c:v>
                </c:pt>
                <c:pt idx="5">
                  <c:v>0.78181818181818186</c:v>
                </c:pt>
                <c:pt idx="6">
                  <c:v>0.78181818181818186</c:v>
                </c:pt>
                <c:pt idx="7">
                  <c:v>0.78181818181818186</c:v>
                </c:pt>
                <c:pt idx="8">
                  <c:v>0.78181818181818186</c:v>
                </c:pt>
                <c:pt idx="9">
                  <c:v>0.78181818181818186</c:v>
                </c:pt>
                <c:pt idx="10">
                  <c:v>0.78181818181818186</c:v>
                </c:pt>
                <c:pt idx="11">
                  <c:v>0.78181818181818186</c:v>
                </c:pt>
                <c:pt idx="12">
                  <c:v>0.78181818181818186</c:v>
                </c:pt>
                <c:pt idx="13">
                  <c:v>0.78181818181818186</c:v>
                </c:pt>
                <c:pt idx="14">
                  <c:v>0.78181818181818186</c:v>
                </c:pt>
                <c:pt idx="15">
                  <c:v>0.78181818181818186</c:v>
                </c:pt>
                <c:pt idx="16">
                  <c:v>0.78181818181818186</c:v>
                </c:pt>
                <c:pt idx="17">
                  <c:v>0.78181818181818186</c:v>
                </c:pt>
                <c:pt idx="18">
                  <c:v>0.78181818181818186</c:v>
                </c:pt>
                <c:pt idx="19">
                  <c:v>0.78181818181818186</c:v>
                </c:pt>
                <c:pt idx="20">
                  <c:v>0.78181818181818186</c:v>
                </c:pt>
                <c:pt idx="21">
                  <c:v>0.78181818181818186</c:v>
                </c:pt>
                <c:pt idx="22">
                  <c:v>0.78181818181818186</c:v>
                </c:pt>
                <c:pt idx="23">
                  <c:v>0.78181818181818186</c:v>
                </c:pt>
                <c:pt idx="24">
                  <c:v>0.78181818181818186</c:v>
                </c:pt>
                <c:pt idx="25">
                  <c:v>0.78181818181818186</c:v>
                </c:pt>
                <c:pt idx="26">
                  <c:v>0.78181818181818186</c:v>
                </c:pt>
                <c:pt idx="27">
                  <c:v>0.78181818181818186</c:v>
                </c:pt>
                <c:pt idx="28">
                  <c:v>0.78181818181818186</c:v>
                </c:pt>
                <c:pt idx="29">
                  <c:v>0.78181818181818186</c:v>
                </c:pt>
                <c:pt idx="30">
                  <c:v>0.78181818181818186</c:v>
                </c:pt>
                <c:pt idx="31">
                  <c:v>0.78181818181818186</c:v>
                </c:pt>
                <c:pt idx="32">
                  <c:v>0.78181818181818186</c:v>
                </c:pt>
                <c:pt idx="33">
                  <c:v>0.78181818181818186</c:v>
                </c:pt>
                <c:pt idx="34">
                  <c:v>0.78181818181818186</c:v>
                </c:pt>
                <c:pt idx="35">
                  <c:v>0.78181818181818186</c:v>
                </c:pt>
                <c:pt idx="36">
                  <c:v>0.78181818181818186</c:v>
                </c:pt>
                <c:pt idx="37">
                  <c:v>0.78181818181818186</c:v>
                </c:pt>
                <c:pt idx="38">
                  <c:v>0.78181818181818186</c:v>
                </c:pt>
                <c:pt idx="39">
                  <c:v>0.78181818181818186</c:v>
                </c:pt>
                <c:pt idx="40">
                  <c:v>0.78181818181818186</c:v>
                </c:pt>
                <c:pt idx="41">
                  <c:v>0.78181818181818186</c:v>
                </c:pt>
                <c:pt idx="42">
                  <c:v>0.78181818181818186</c:v>
                </c:pt>
                <c:pt idx="43">
                  <c:v>0.78181818181818186</c:v>
                </c:pt>
                <c:pt idx="44">
                  <c:v>0.78181818181818186</c:v>
                </c:pt>
                <c:pt idx="45">
                  <c:v>0.78181818181818186</c:v>
                </c:pt>
                <c:pt idx="46">
                  <c:v>0.78181818181818186</c:v>
                </c:pt>
                <c:pt idx="47">
                  <c:v>0.78181818181818186</c:v>
                </c:pt>
                <c:pt idx="48">
                  <c:v>0.78181818181818186</c:v>
                </c:pt>
                <c:pt idx="49">
                  <c:v>0.78181818181818186</c:v>
                </c:pt>
                <c:pt idx="50">
                  <c:v>0.78181818181818186</c:v>
                </c:pt>
              </c:numCache>
            </c:numRef>
          </c:yVal>
          <c:smooth val="1"/>
          <c:extLst>
            <c:ext xmlns:c16="http://schemas.microsoft.com/office/drawing/2014/chart" uri="{C3380CC4-5D6E-409C-BE32-E72D297353CC}">
              <c16:uniqueId val="{00000001-8364-46AE-A3E0-7BFABE7F42FC}"/>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0.51596064250617479</c:v>
                </c:pt>
                <c:pt idx="2">
                  <c:v>0.72967853828296825</c:v>
                </c:pt>
                <c:pt idx="3">
                  <c:v>0.76363636363636367</c:v>
                </c:pt>
                <c:pt idx="4">
                  <c:v>0.76363636363636367</c:v>
                </c:pt>
                <c:pt idx="5">
                  <c:v>0.76363636363636367</c:v>
                </c:pt>
                <c:pt idx="6">
                  <c:v>0.76363636363636367</c:v>
                </c:pt>
                <c:pt idx="7">
                  <c:v>0.76363636363636367</c:v>
                </c:pt>
                <c:pt idx="8">
                  <c:v>0.76363636363636367</c:v>
                </c:pt>
                <c:pt idx="9">
                  <c:v>0.76363636363636367</c:v>
                </c:pt>
                <c:pt idx="10">
                  <c:v>0.76363636363636367</c:v>
                </c:pt>
                <c:pt idx="11">
                  <c:v>0.76363636363636367</c:v>
                </c:pt>
                <c:pt idx="12">
                  <c:v>0.76363636363636367</c:v>
                </c:pt>
                <c:pt idx="13">
                  <c:v>0.76363636363636367</c:v>
                </c:pt>
                <c:pt idx="14">
                  <c:v>0.76363636363636367</c:v>
                </c:pt>
                <c:pt idx="15">
                  <c:v>0.76363636363636367</c:v>
                </c:pt>
                <c:pt idx="16">
                  <c:v>0.76363636363636367</c:v>
                </c:pt>
                <c:pt idx="17">
                  <c:v>0.76363636363636367</c:v>
                </c:pt>
                <c:pt idx="18">
                  <c:v>0.76363636363636367</c:v>
                </c:pt>
                <c:pt idx="19">
                  <c:v>0.76363636363636367</c:v>
                </c:pt>
                <c:pt idx="20">
                  <c:v>0.76363636363636367</c:v>
                </c:pt>
                <c:pt idx="21">
                  <c:v>0.76363636363636367</c:v>
                </c:pt>
                <c:pt idx="22">
                  <c:v>0.76363636363636367</c:v>
                </c:pt>
                <c:pt idx="23">
                  <c:v>0.76363636363636367</c:v>
                </c:pt>
                <c:pt idx="24">
                  <c:v>0.76363636363636367</c:v>
                </c:pt>
                <c:pt idx="25">
                  <c:v>0.76363636363636367</c:v>
                </c:pt>
                <c:pt idx="26">
                  <c:v>0.76363636363636367</c:v>
                </c:pt>
                <c:pt idx="27">
                  <c:v>0.76363636363636367</c:v>
                </c:pt>
                <c:pt idx="28">
                  <c:v>0.76363636363636367</c:v>
                </c:pt>
                <c:pt idx="29">
                  <c:v>0.76363636363636367</c:v>
                </c:pt>
                <c:pt idx="30">
                  <c:v>0.76363636363636367</c:v>
                </c:pt>
                <c:pt idx="31">
                  <c:v>0.76363636363636367</c:v>
                </c:pt>
                <c:pt idx="32">
                  <c:v>0.76363636363636367</c:v>
                </c:pt>
                <c:pt idx="33">
                  <c:v>0.76363636363636367</c:v>
                </c:pt>
                <c:pt idx="34">
                  <c:v>0.76363636363636367</c:v>
                </c:pt>
                <c:pt idx="35">
                  <c:v>0.76363636363636367</c:v>
                </c:pt>
                <c:pt idx="36">
                  <c:v>0.76363636363636367</c:v>
                </c:pt>
                <c:pt idx="37">
                  <c:v>0.76363636363636367</c:v>
                </c:pt>
                <c:pt idx="38">
                  <c:v>0.76363636363636367</c:v>
                </c:pt>
                <c:pt idx="39">
                  <c:v>0.76363636363636367</c:v>
                </c:pt>
                <c:pt idx="40">
                  <c:v>0.76363636363636367</c:v>
                </c:pt>
                <c:pt idx="41">
                  <c:v>0.76363636363636367</c:v>
                </c:pt>
                <c:pt idx="42">
                  <c:v>0.76363636363636367</c:v>
                </c:pt>
                <c:pt idx="43">
                  <c:v>0.76363636363636367</c:v>
                </c:pt>
                <c:pt idx="44">
                  <c:v>0.76363636363636367</c:v>
                </c:pt>
                <c:pt idx="45">
                  <c:v>0.76363636363636367</c:v>
                </c:pt>
                <c:pt idx="46">
                  <c:v>0.76363636363636367</c:v>
                </c:pt>
                <c:pt idx="47">
                  <c:v>0.76363636363636367</c:v>
                </c:pt>
                <c:pt idx="48">
                  <c:v>0.76363636363636367</c:v>
                </c:pt>
                <c:pt idx="49">
                  <c:v>0.76363636363636367</c:v>
                </c:pt>
                <c:pt idx="50">
                  <c:v>0.76363636363636367</c:v>
                </c:pt>
              </c:numCache>
            </c:numRef>
          </c:yVal>
          <c:smooth val="1"/>
          <c:extLst>
            <c:ext xmlns:c16="http://schemas.microsoft.com/office/drawing/2014/chart" uri="{C3380CC4-5D6E-409C-BE32-E72D297353CC}">
              <c16:uniqueId val="{00000002-8364-46AE-A3E0-7BFABE7F42FC}"/>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Calculations!$B$56</c:f>
              <c:numCache>
                <c:formatCode>0.000</c:formatCode>
                <c:ptCount val="1"/>
                <c:pt idx="0">
                  <c:v>1.8053438177003931</c:v>
                </c:pt>
              </c:numCache>
            </c:numRef>
          </c:xVal>
          <c:yVal>
            <c:numRef>
              <c:f>Calculations!$B$57</c:f>
              <c:numCache>
                <c:formatCode>General</c:formatCode>
                <c:ptCount val="1"/>
                <c:pt idx="0">
                  <c:v>0.81818181818181812</c:v>
                </c:pt>
              </c:numCache>
            </c:numRef>
          </c:yVal>
          <c:smooth val="0"/>
          <c:extLst>
            <c:ext xmlns:c16="http://schemas.microsoft.com/office/drawing/2014/chart" uri="{C3380CC4-5D6E-409C-BE32-E72D297353CC}">
              <c16:uniqueId val="{00000003-8364-46AE-A3E0-7BFABE7F42FC}"/>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Calculations!$B$59</c:f>
              <c:numCache>
                <c:formatCode>0.000</c:formatCode>
                <c:ptCount val="1"/>
                <c:pt idx="0">
                  <c:v>2.0701275776297838</c:v>
                </c:pt>
              </c:numCache>
            </c:numRef>
          </c:xVal>
          <c:yVal>
            <c:numRef>
              <c:f>Calculations!$B$60</c:f>
              <c:numCache>
                <c:formatCode>0.000</c:formatCode>
                <c:ptCount val="1"/>
                <c:pt idx="0">
                  <c:v>0.78181818181818186</c:v>
                </c:pt>
              </c:numCache>
            </c:numRef>
          </c:yVal>
          <c:smooth val="0"/>
          <c:extLst>
            <c:ext xmlns:c16="http://schemas.microsoft.com/office/drawing/2014/chart" uri="{C3380CC4-5D6E-409C-BE32-E72D297353CC}">
              <c16:uniqueId val="{00000004-8364-46AE-A3E0-7BFABE7F42FC}"/>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Calculations!$B$62</c:f>
              <c:numCache>
                <c:formatCode>0.000</c:formatCode>
                <c:ptCount val="1"/>
                <c:pt idx="0">
                  <c:v>2.1904838321431432</c:v>
                </c:pt>
              </c:numCache>
            </c:numRef>
          </c:xVal>
          <c:yVal>
            <c:numRef>
              <c:f>Calculations!$B$63</c:f>
              <c:numCache>
                <c:formatCode>General</c:formatCode>
                <c:ptCount val="1"/>
                <c:pt idx="0">
                  <c:v>0.76363636363636367</c:v>
                </c:pt>
              </c:numCache>
            </c:numRef>
          </c:yVal>
          <c:smooth val="1"/>
          <c:extLst>
            <c:ext xmlns:c16="http://schemas.microsoft.com/office/drawing/2014/chart" uri="{C3380CC4-5D6E-409C-BE32-E72D297353CC}">
              <c16:uniqueId val="{00000005-8364-46AE-A3E0-7BFABE7F42FC}"/>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layout/>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layout/>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layout/>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0.16918379914973194</c:v>
                </c:pt>
                <c:pt idx="2">
                  <c:v>0.23926202329135665</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numCache>
            </c:numRef>
          </c:yVal>
          <c:smooth val="1"/>
          <c:extLst>
            <c:ext xmlns:c16="http://schemas.microsoft.com/office/drawing/2014/chart" uri="{C3380CC4-5D6E-409C-BE32-E72D297353CC}">
              <c16:uniqueId val="{00000000-A88A-49FA-A910-0662731C8705}"/>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0.15164217367608954</c:v>
                </c:pt>
                <c:pt idx="2">
                  <c:v>0.21445441864046216</c:v>
                </c:pt>
                <c:pt idx="3">
                  <c:v>0.21818181818181817</c:v>
                </c:pt>
                <c:pt idx="4">
                  <c:v>0.21818181818181817</c:v>
                </c:pt>
                <c:pt idx="5">
                  <c:v>0.21818181818181817</c:v>
                </c:pt>
                <c:pt idx="6">
                  <c:v>0.21818181818181817</c:v>
                </c:pt>
                <c:pt idx="7">
                  <c:v>0.21818181818181817</c:v>
                </c:pt>
                <c:pt idx="8">
                  <c:v>0.21818181818181817</c:v>
                </c:pt>
                <c:pt idx="9">
                  <c:v>0.21818181818181817</c:v>
                </c:pt>
                <c:pt idx="10">
                  <c:v>0.21818181818181817</c:v>
                </c:pt>
                <c:pt idx="11">
                  <c:v>0.21818181818181817</c:v>
                </c:pt>
                <c:pt idx="12">
                  <c:v>0.21818181818181817</c:v>
                </c:pt>
                <c:pt idx="13">
                  <c:v>0.21818181818181817</c:v>
                </c:pt>
                <c:pt idx="14">
                  <c:v>0.21818181818181817</c:v>
                </c:pt>
                <c:pt idx="15">
                  <c:v>0.21818181818181817</c:v>
                </c:pt>
                <c:pt idx="16">
                  <c:v>0.21818181818181817</c:v>
                </c:pt>
                <c:pt idx="17">
                  <c:v>0.21818181818181817</c:v>
                </c:pt>
                <c:pt idx="18">
                  <c:v>0.21818181818181817</c:v>
                </c:pt>
                <c:pt idx="19">
                  <c:v>0.21818181818181817</c:v>
                </c:pt>
                <c:pt idx="20">
                  <c:v>0.21818181818181817</c:v>
                </c:pt>
                <c:pt idx="21">
                  <c:v>0.21818181818181817</c:v>
                </c:pt>
                <c:pt idx="22">
                  <c:v>0.21818181818181817</c:v>
                </c:pt>
                <c:pt idx="23">
                  <c:v>0.21818181818181817</c:v>
                </c:pt>
                <c:pt idx="24">
                  <c:v>0.21818181818181817</c:v>
                </c:pt>
                <c:pt idx="25">
                  <c:v>0.21818181818181817</c:v>
                </c:pt>
                <c:pt idx="26">
                  <c:v>0.21818181818181817</c:v>
                </c:pt>
                <c:pt idx="27">
                  <c:v>0.21818181818181817</c:v>
                </c:pt>
                <c:pt idx="28">
                  <c:v>0.21818181818181817</c:v>
                </c:pt>
                <c:pt idx="29">
                  <c:v>0.21818181818181817</c:v>
                </c:pt>
                <c:pt idx="30">
                  <c:v>0.21818181818181817</c:v>
                </c:pt>
                <c:pt idx="31">
                  <c:v>0.21818181818181817</c:v>
                </c:pt>
                <c:pt idx="32">
                  <c:v>0.21818181818181817</c:v>
                </c:pt>
                <c:pt idx="33">
                  <c:v>0.21818181818181817</c:v>
                </c:pt>
                <c:pt idx="34">
                  <c:v>0.21818181818181817</c:v>
                </c:pt>
                <c:pt idx="35">
                  <c:v>0.21818181818181817</c:v>
                </c:pt>
                <c:pt idx="36">
                  <c:v>0.21818181818181817</c:v>
                </c:pt>
                <c:pt idx="37">
                  <c:v>0.21818181818181817</c:v>
                </c:pt>
                <c:pt idx="38">
                  <c:v>0.21818181818181817</c:v>
                </c:pt>
                <c:pt idx="39">
                  <c:v>0.21818181818181817</c:v>
                </c:pt>
                <c:pt idx="40">
                  <c:v>0.21818181818181817</c:v>
                </c:pt>
                <c:pt idx="41">
                  <c:v>0.21818181818181817</c:v>
                </c:pt>
                <c:pt idx="42">
                  <c:v>0.21818181818181817</c:v>
                </c:pt>
                <c:pt idx="43">
                  <c:v>0.21818181818181817</c:v>
                </c:pt>
                <c:pt idx="44">
                  <c:v>0.21818181818181817</c:v>
                </c:pt>
                <c:pt idx="45">
                  <c:v>0.21818181818181817</c:v>
                </c:pt>
                <c:pt idx="46">
                  <c:v>0.21818181818181817</c:v>
                </c:pt>
                <c:pt idx="47">
                  <c:v>0.21818181818181817</c:v>
                </c:pt>
                <c:pt idx="48">
                  <c:v>0.21818181818181817</c:v>
                </c:pt>
                <c:pt idx="49">
                  <c:v>0.21818181818181817</c:v>
                </c:pt>
                <c:pt idx="50">
                  <c:v>0.21818181818181817</c:v>
                </c:pt>
              </c:numCache>
            </c:numRef>
          </c:yVal>
          <c:smooth val="1"/>
          <c:extLst>
            <c:ext xmlns:c16="http://schemas.microsoft.com/office/drawing/2014/chart" uri="{C3380CC4-5D6E-409C-BE32-E72D297353CC}">
              <c16:uniqueId val="{00000001-A88A-49FA-A910-0662731C8705}"/>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0.12352837430833152</c:v>
                </c:pt>
                <c:pt idx="2">
                  <c:v>0.17469550228474262</c:v>
                </c:pt>
                <c:pt idx="3">
                  <c:v>0.18181818181818182</c:v>
                </c:pt>
                <c:pt idx="4">
                  <c:v>0.18181818181818182</c:v>
                </c:pt>
                <c:pt idx="5">
                  <c:v>0.18181818181818182</c:v>
                </c:pt>
                <c:pt idx="6">
                  <c:v>0.18181818181818182</c:v>
                </c:pt>
                <c:pt idx="7">
                  <c:v>0.18181818181818182</c:v>
                </c:pt>
                <c:pt idx="8">
                  <c:v>0.18181818181818182</c:v>
                </c:pt>
                <c:pt idx="9">
                  <c:v>0.18181818181818182</c:v>
                </c:pt>
                <c:pt idx="10">
                  <c:v>0.18181818181818182</c:v>
                </c:pt>
                <c:pt idx="11">
                  <c:v>0.18181818181818182</c:v>
                </c:pt>
                <c:pt idx="12">
                  <c:v>0.18181818181818182</c:v>
                </c:pt>
                <c:pt idx="13">
                  <c:v>0.18181818181818182</c:v>
                </c:pt>
                <c:pt idx="14">
                  <c:v>0.18181818181818182</c:v>
                </c:pt>
                <c:pt idx="15">
                  <c:v>0.18181818181818182</c:v>
                </c:pt>
                <c:pt idx="16">
                  <c:v>0.18181818181818182</c:v>
                </c:pt>
                <c:pt idx="17">
                  <c:v>0.18181818181818182</c:v>
                </c:pt>
                <c:pt idx="18">
                  <c:v>0.18181818181818182</c:v>
                </c:pt>
                <c:pt idx="19">
                  <c:v>0.18181818181818182</c:v>
                </c:pt>
                <c:pt idx="20">
                  <c:v>0.18181818181818182</c:v>
                </c:pt>
                <c:pt idx="21">
                  <c:v>0.18181818181818182</c:v>
                </c:pt>
                <c:pt idx="22">
                  <c:v>0.18181818181818182</c:v>
                </c:pt>
                <c:pt idx="23">
                  <c:v>0.18181818181818182</c:v>
                </c:pt>
                <c:pt idx="24">
                  <c:v>0.18181818181818182</c:v>
                </c:pt>
                <c:pt idx="25">
                  <c:v>0.18181818181818182</c:v>
                </c:pt>
                <c:pt idx="26">
                  <c:v>0.18181818181818182</c:v>
                </c:pt>
                <c:pt idx="27">
                  <c:v>0.18181818181818182</c:v>
                </c:pt>
                <c:pt idx="28">
                  <c:v>0.18181818181818182</c:v>
                </c:pt>
                <c:pt idx="29">
                  <c:v>0.18181818181818182</c:v>
                </c:pt>
                <c:pt idx="30">
                  <c:v>0.18181818181818182</c:v>
                </c:pt>
                <c:pt idx="31">
                  <c:v>0.18181818181818182</c:v>
                </c:pt>
                <c:pt idx="32">
                  <c:v>0.18181818181818182</c:v>
                </c:pt>
                <c:pt idx="33">
                  <c:v>0.18181818181818182</c:v>
                </c:pt>
                <c:pt idx="34">
                  <c:v>0.18181818181818182</c:v>
                </c:pt>
                <c:pt idx="35">
                  <c:v>0.18181818181818182</c:v>
                </c:pt>
                <c:pt idx="36">
                  <c:v>0.18181818181818182</c:v>
                </c:pt>
                <c:pt idx="37">
                  <c:v>0.18181818181818182</c:v>
                </c:pt>
                <c:pt idx="38">
                  <c:v>0.18181818181818182</c:v>
                </c:pt>
                <c:pt idx="39">
                  <c:v>0.18181818181818182</c:v>
                </c:pt>
                <c:pt idx="40">
                  <c:v>0.18181818181818182</c:v>
                </c:pt>
                <c:pt idx="41">
                  <c:v>0.18181818181818182</c:v>
                </c:pt>
                <c:pt idx="42">
                  <c:v>0.18181818181818182</c:v>
                </c:pt>
                <c:pt idx="43">
                  <c:v>0.18181818181818182</c:v>
                </c:pt>
                <c:pt idx="44">
                  <c:v>0.18181818181818182</c:v>
                </c:pt>
                <c:pt idx="45">
                  <c:v>0.18181818181818182</c:v>
                </c:pt>
                <c:pt idx="46">
                  <c:v>0.18181818181818182</c:v>
                </c:pt>
                <c:pt idx="47">
                  <c:v>0.18181818181818182</c:v>
                </c:pt>
                <c:pt idx="48">
                  <c:v>0.18181818181818182</c:v>
                </c:pt>
                <c:pt idx="49">
                  <c:v>0.18181818181818182</c:v>
                </c:pt>
                <c:pt idx="50">
                  <c:v>0.18181818181818182</c:v>
                </c:pt>
              </c:numCache>
            </c:numRef>
          </c:yVal>
          <c:smooth val="1"/>
          <c:extLst>
            <c:ext xmlns:c16="http://schemas.microsoft.com/office/drawing/2014/chart" uri="{C3380CC4-5D6E-409C-BE32-E72D297353CC}">
              <c16:uniqueId val="{00000002-A88A-49FA-A910-0662731C8705}"/>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Calculations!$B$47</c:f>
              <c:numCache>
                <c:formatCode>0.000</c:formatCode>
                <c:ptCount val="1"/>
                <c:pt idx="0">
                  <c:v>2.0123565754633717</c:v>
                </c:pt>
              </c:numCache>
            </c:numRef>
          </c:xVal>
          <c:yVal>
            <c:numRef>
              <c:f>Calculations!$B$48</c:f>
              <c:numCache>
                <c:formatCode>General</c:formatCode>
                <c:ptCount val="1"/>
                <c:pt idx="0">
                  <c:v>0.24</c:v>
                </c:pt>
              </c:numCache>
            </c:numRef>
          </c:yVal>
          <c:smooth val="1"/>
          <c:extLst>
            <c:ext xmlns:c16="http://schemas.microsoft.com/office/drawing/2014/chart" uri="{C3380CC4-5D6E-409C-BE32-E72D297353CC}">
              <c16:uniqueId val="{00000003-A88A-49FA-A910-0662731C8705}"/>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Calculations!$B$50</c:f>
              <c:numCache>
                <c:formatCode>0.000</c:formatCode>
                <c:ptCount val="1"/>
                <c:pt idx="0">
                  <c:v>2.0701275776297838</c:v>
                </c:pt>
              </c:numCache>
            </c:numRef>
          </c:xVal>
          <c:yVal>
            <c:numRef>
              <c:f>Calculations!$B$51</c:f>
              <c:numCache>
                <c:formatCode>0.0000</c:formatCode>
                <c:ptCount val="1"/>
                <c:pt idx="0">
                  <c:v>0.21818181818181817</c:v>
                </c:pt>
              </c:numCache>
            </c:numRef>
          </c:yVal>
          <c:smooth val="1"/>
          <c:extLst>
            <c:ext xmlns:c16="http://schemas.microsoft.com/office/drawing/2014/chart" uri="{C3380CC4-5D6E-409C-BE32-E72D297353CC}">
              <c16:uniqueId val="{00000004-A88A-49FA-A910-0662731C8705}"/>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xVal>
            <c:numRef>
              <c:f>Calculations!$B$53</c:f>
              <c:numCache>
                <c:formatCode>0.000</c:formatCode>
                <c:ptCount val="1"/>
                <c:pt idx="0">
                  <c:v>2.166412581240472</c:v>
                </c:pt>
              </c:numCache>
            </c:numRef>
          </c:xVal>
          <c:yVal>
            <c:numRef>
              <c:f>Calculations!$B$54</c:f>
              <c:numCache>
                <c:formatCode>0.000</c:formatCode>
                <c:ptCount val="1"/>
                <c:pt idx="0">
                  <c:v>0.18181818181818182</c:v>
                </c:pt>
              </c:numCache>
            </c:numRef>
          </c:yVal>
          <c:smooth val="1"/>
          <c:extLst>
            <c:ext xmlns:c16="http://schemas.microsoft.com/office/drawing/2014/chart" uri="{C3380CC4-5D6E-409C-BE32-E72D297353CC}">
              <c16:uniqueId val="{00000005-A88A-49FA-A910-0662731C8705}"/>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layout/>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layout/>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0.6089334939055332</c:v>
                </c:pt>
                <c:pt idx="2">
                  <c:v>0.81818181818181812</c:v>
                </c:pt>
                <c:pt idx="3">
                  <c:v>0.81818181818181812</c:v>
                </c:pt>
                <c:pt idx="4">
                  <c:v>0.81818181818181812</c:v>
                </c:pt>
                <c:pt idx="5">
                  <c:v>0.81818181818181812</c:v>
                </c:pt>
                <c:pt idx="6">
                  <c:v>0.81818181818181812</c:v>
                </c:pt>
                <c:pt idx="7">
                  <c:v>0.81818181818181812</c:v>
                </c:pt>
                <c:pt idx="8">
                  <c:v>0.81818181818181812</c:v>
                </c:pt>
                <c:pt idx="9">
                  <c:v>0.81818181818181812</c:v>
                </c:pt>
                <c:pt idx="10">
                  <c:v>0.81818181818181812</c:v>
                </c:pt>
                <c:pt idx="11">
                  <c:v>0.81818181818181812</c:v>
                </c:pt>
                <c:pt idx="12">
                  <c:v>0.81818181818181812</c:v>
                </c:pt>
                <c:pt idx="13">
                  <c:v>0.81818181818181812</c:v>
                </c:pt>
                <c:pt idx="14">
                  <c:v>0.81818181818181812</c:v>
                </c:pt>
                <c:pt idx="15">
                  <c:v>0.81818181818181812</c:v>
                </c:pt>
                <c:pt idx="16">
                  <c:v>0.81818181818181812</c:v>
                </c:pt>
                <c:pt idx="17">
                  <c:v>0.81818181818181812</c:v>
                </c:pt>
                <c:pt idx="18">
                  <c:v>0.81818181818181812</c:v>
                </c:pt>
                <c:pt idx="19">
                  <c:v>0.81818181818181812</c:v>
                </c:pt>
                <c:pt idx="20">
                  <c:v>0.81818181818181812</c:v>
                </c:pt>
                <c:pt idx="21">
                  <c:v>0.81818181818181812</c:v>
                </c:pt>
                <c:pt idx="22">
                  <c:v>0.81818181818181812</c:v>
                </c:pt>
                <c:pt idx="23">
                  <c:v>0.81818181818181812</c:v>
                </c:pt>
                <c:pt idx="24">
                  <c:v>0.81818181818181812</c:v>
                </c:pt>
                <c:pt idx="25">
                  <c:v>0.81818181818181812</c:v>
                </c:pt>
                <c:pt idx="26">
                  <c:v>0.81818181818181812</c:v>
                </c:pt>
                <c:pt idx="27">
                  <c:v>0.81818181818181812</c:v>
                </c:pt>
                <c:pt idx="28">
                  <c:v>0.81818181818181812</c:v>
                </c:pt>
                <c:pt idx="29">
                  <c:v>0.81818181818181812</c:v>
                </c:pt>
                <c:pt idx="30">
                  <c:v>0.81818181818181812</c:v>
                </c:pt>
                <c:pt idx="31">
                  <c:v>0.81818181818181812</c:v>
                </c:pt>
                <c:pt idx="32">
                  <c:v>0.81818181818181812</c:v>
                </c:pt>
                <c:pt idx="33">
                  <c:v>0.81818181818181812</c:v>
                </c:pt>
                <c:pt idx="34">
                  <c:v>0.81818181818181812</c:v>
                </c:pt>
                <c:pt idx="35">
                  <c:v>0.81818181818181812</c:v>
                </c:pt>
                <c:pt idx="36">
                  <c:v>0.81818181818181812</c:v>
                </c:pt>
                <c:pt idx="37">
                  <c:v>0.81818181818181812</c:v>
                </c:pt>
                <c:pt idx="38">
                  <c:v>0.81818181818181812</c:v>
                </c:pt>
                <c:pt idx="39">
                  <c:v>0.81818181818181812</c:v>
                </c:pt>
                <c:pt idx="40">
                  <c:v>0.81818181818181812</c:v>
                </c:pt>
                <c:pt idx="41">
                  <c:v>0.81818181818181812</c:v>
                </c:pt>
                <c:pt idx="42">
                  <c:v>0.81818181818181812</c:v>
                </c:pt>
                <c:pt idx="43">
                  <c:v>0.81818181818181812</c:v>
                </c:pt>
                <c:pt idx="44">
                  <c:v>0.81818181818181812</c:v>
                </c:pt>
                <c:pt idx="45">
                  <c:v>0.81818181818181812</c:v>
                </c:pt>
                <c:pt idx="46">
                  <c:v>0.81818181818181812</c:v>
                </c:pt>
                <c:pt idx="47">
                  <c:v>0.81818181818181812</c:v>
                </c:pt>
                <c:pt idx="48">
                  <c:v>0.81818181818181812</c:v>
                </c:pt>
                <c:pt idx="49">
                  <c:v>0.81818181818181812</c:v>
                </c:pt>
                <c:pt idx="50">
                  <c:v>0.81818181818181812</c:v>
                </c:pt>
              </c:numCache>
            </c:numRef>
          </c:yVal>
          <c:smooth val="1"/>
          <c:extLst>
            <c:ext xmlns:c16="http://schemas.microsoft.com/office/drawing/2014/chart" uri="{C3380CC4-5D6E-409C-BE32-E72D297353CC}">
              <c16:uniqueId val="{00000000-B1D8-40E6-A8D9-0B7A5EBEA022}"/>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0.54338445567265414</c:v>
                </c:pt>
                <c:pt idx="2">
                  <c:v>0.7684616667949894</c:v>
                </c:pt>
                <c:pt idx="3">
                  <c:v>0.78181818181818186</c:v>
                </c:pt>
                <c:pt idx="4">
                  <c:v>0.78181818181818186</c:v>
                </c:pt>
                <c:pt idx="5">
                  <c:v>0.78181818181818186</c:v>
                </c:pt>
                <c:pt idx="6">
                  <c:v>0.78181818181818186</c:v>
                </c:pt>
                <c:pt idx="7">
                  <c:v>0.78181818181818186</c:v>
                </c:pt>
                <c:pt idx="8">
                  <c:v>0.78181818181818186</c:v>
                </c:pt>
                <c:pt idx="9">
                  <c:v>0.78181818181818186</c:v>
                </c:pt>
                <c:pt idx="10">
                  <c:v>0.78181818181818186</c:v>
                </c:pt>
                <c:pt idx="11">
                  <c:v>0.78181818181818186</c:v>
                </c:pt>
                <c:pt idx="12">
                  <c:v>0.78181818181818186</c:v>
                </c:pt>
                <c:pt idx="13">
                  <c:v>0.78181818181818186</c:v>
                </c:pt>
                <c:pt idx="14">
                  <c:v>0.78181818181818186</c:v>
                </c:pt>
                <c:pt idx="15">
                  <c:v>0.78181818181818186</c:v>
                </c:pt>
                <c:pt idx="16">
                  <c:v>0.78181818181818186</c:v>
                </c:pt>
                <c:pt idx="17">
                  <c:v>0.78181818181818186</c:v>
                </c:pt>
                <c:pt idx="18">
                  <c:v>0.78181818181818186</c:v>
                </c:pt>
                <c:pt idx="19">
                  <c:v>0.78181818181818186</c:v>
                </c:pt>
                <c:pt idx="20">
                  <c:v>0.78181818181818186</c:v>
                </c:pt>
                <c:pt idx="21">
                  <c:v>0.78181818181818186</c:v>
                </c:pt>
                <c:pt idx="22">
                  <c:v>0.78181818181818186</c:v>
                </c:pt>
                <c:pt idx="23">
                  <c:v>0.78181818181818186</c:v>
                </c:pt>
                <c:pt idx="24">
                  <c:v>0.78181818181818186</c:v>
                </c:pt>
                <c:pt idx="25">
                  <c:v>0.78181818181818186</c:v>
                </c:pt>
                <c:pt idx="26">
                  <c:v>0.78181818181818186</c:v>
                </c:pt>
                <c:pt idx="27">
                  <c:v>0.78181818181818186</c:v>
                </c:pt>
                <c:pt idx="28">
                  <c:v>0.78181818181818186</c:v>
                </c:pt>
                <c:pt idx="29">
                  <c:v>0.78181818181818186</c:v>
                </c:pt>
                <c:pt idx="30">
                  <c:v>0.78181818181818186</c:v>
                </c:pt>
                <c:pt idx="31">
                  <c:v>0.78181818181818186</c:v>
                </c:pt>
                <c:pt idx="32">
                  <c:v>0.78181818181818186</c:v>
                </c:pt>
                <c:pt idx="33">
                  <c:v>0.78181818181818186</c:v>
                </c:pt>
                <c:pt idx="34">
                  <c:v>0.78181818181818186</c:v>
                </c:pt>
                <c:pt idx="35">
                  <c:v>0.78181818181818186</c:v>
                </c:pt>
                <c:pt idx="36">
                  <c:v>0.78181818181818186</c:v>
                </c:pt>
                <c:pt idx="37">
                  <c:v>0.78181818181818186</c:v>
                </c:pt>
                <c:pt idx="38">
                  <c:v>0.78181818181818186</c:v>
                </c:pt>
                <c:pt idx="39">
                  <c:v>0.78181818181818186</c:v>
                </c:pt>
                <c:pt idx="40">
                  <c:v>0.78181818181818186</c:v>
                </c:pt>
                <c:pt idx="41">
                  <c:v>0.78181818181818186</c:v>
                </c:pt>
                <c:pt idx="42">
                  <c:v>0.78181818181818186</c:v>
                </c:pt>
                <c:pt idx="43">
                  <c:v>0.78181818181818186</c:v>
                </c:pt>
                <c:pt idx="44">
                  <c:v>0.78181818181818186</c:v>
                </c:pt>
                <c:pt idx="45">
                  <c:v>0.78181818181818186</c:v>
                </c:pt>
                <c:pt idx="46">
                  <c:v>0.78181818181818186</c:v>
                </c:pt>
                <c:pt idx="47">
                  <c:v>0.78181818181818186</c:v>
                </c:pt>
                <c:pt idx="48">
                  <c:v>0.78181818181818186</c:v>
                </c:pt>
                <c:pt idx="49">
                  <c:v>0.78181818181818186</c:v>
                </c:pt>
                <c:pt idx="50">
                  <c:v>0.78181818181818186</c:v>
                </c:pt>
              </c:numCache>
            </c:numRef>
          </c:yVal>
          <c:smooth val="1"/>
          <c:extLst>
            <c:ext xmlns:c16="http://schemas.microsoft.com/office/drawing/2014/chart" uri="{C3380CC4-5D6E-409C-BE32-E72D297353CC}">
              <c16:uniqueId val="{00000001-B1D8-40E6-A8D9-0B7A5EBEA022}"/>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0.51596064250617479</c:v>
                </c:pt>
                <c:pt idx="2">
                  <c:v>0.72967853828296825</c:v>
                </c:pt>
                <c:pt idx="3">
                  <c:v>0.76363636363636367</c:v>
                </c:pt>
                <c:pt idx="4">
                  <c:v>0.76363636363636367</c:v>
                </c:pt>
                <c:pt idx="5">
                  <c:v>0.76363636363636367</c:v>
                </c:pt>
                <c:pt idx="6">
                  <c:v>0.76363636363636367</c:v>
                </c:pt>
                <c:pt idx="7">
                  <c:v>0.76363636363636367</c:v>
                </c:pt>
                <c:pt idx="8">
                  <c:v>0.76363636363636367</c:v>
                </c:pt>
                <c:pt idx="9">
                  <c:v>0.76363636363636367</c:v>
                </c:pt>
                <c:pt idx="10">
                  <c:v>0.76363636363636367</c:v>
                </c:pt>
                <c:pt idx="11">
                  <c:v>0.76363636363636367</c:v>
                </c:pt>
                <c:pt idx="12">
                  <c:v>0.76363636363636367</c:v>
                </c:pt>
                <c:pt idx="13">
                  <c:v>0.76363636363636367</c:v>
                </c:pt>
                <c:pt idx="14">
                  <c:v>0.76363636363636367</c:v>
                </c:pt>
                <c:pt idx="15">
                  <c:v>0.76363636363636367</c:v>
                </c:pt>
                <c:pt idx="16">
                  <c:v>0.76363636363636367</c:v>
                </c:pt>
                <c:pt idx="17">
                  <c:v>0.76363636363636367</c:v>
                </c:pt>
                <c:pt idx="18">
                  <c:v>0.76363636363636367</c:v>
                </c:pt>
                <c:pt idx="19">
                  <c:v>0.76363636363636367</c:v>
                </c:pt>
                <c:pt idx="20">
                  <c:v>0.76363636363636367</c:v>
                </c:pt>
                <c:pt idx="21">
                  <c:v>0.76363636363636367</c:v>
                </c:pt>
                <c:pt idx="22">
                  <c:v>0.76363636363636367</c:v>
                </c:pt>
                <c:pt idx="23">
                  <c:v>0.76363636363636367</c:v>
                </c:pt>
                <c:pt idx="24">
                  <c:v>0.76363636363636367</c:v>
                </c:pt>
                <c:pt idx="25">
                  <c:v>0.76363636363636367</c:v>
                </c:pt>
                <c:pt idx="26">
                  <c:v>0.76363636363636367</c:v>
                </c:pt>
                <c:pt idx="27">
                  <c:v>0.76363636363636367</c:v>
                </c:pt>
                <c:pt idx="28">
                  <c:v>0.76363636363636367</c:v>
                </c:pt>
                <c:pt idx="29">
                  <c:v>0.76363636363636367</c:v>
                </c:pt>
                <c:pt idx="30">
                  <c:v>0.76363636363636367</c:v>
                </c:pt>
                <c:pt idx="31">
                  <c:v>0.76363636363636367</c:v>
                </c:pt>
                <c:pt idx="32">
                  <c:v>0.76363636363636367</c:v>
                </c:pt>
                <c:pt idx="33">
                  <c:v>0.76363636363636367</c:v>
                </c:pt>
                <c:pt idx="34">
                  <c:v>0.76363636363636367</c:v>
                </c:pt>
                <c:pt idx="35">
                  <c:v>0.76363636363636367</c:v>
                </c:pt>
                <c:pt idx="36">
                  <c:v>0.76363636363636367</c:v>
                </c:pt>
                <c:pt idx="37">
                  <c:v>0.76363636363636367</c:v>
                </c:pt>
                <c:pt idx="38">
                  <c:v>0.76363636363636367</c:v>
                </c:pt>
                <c:pt idx="39">
                  <c:v>0.76363636363636367</c:v>
                </c:pt>
                <c:pt idx="40">
                  <c:v>0.76363636363636367</c:v>
                </c:pt>
                <c:pt idx="41">
                  <c:v>0.76363636363636367</c:v>
                </c:pt>
                <c:pt idx="42">
                  <c:v>0.76363636363636367</c:v>
                </c:pt>
                <c:pt idx="43">
                  <c:v>0.76363636363636367</c:v>
                </c:pt>
                <c:pt idx="44">
                  <c:v>0.76363636363636367</c:v>
                </c:pt>
                <c:pt idx="45">
                  <c:v>0.76363636363636367</c:v>
                </c:pt>
                <c:pt idx="46">
                  <c:v>0.76363636363636367</c:v>
                </c:pt>
                <c:pt idx="47">
                  <c:v>0.76363636363636367</c:v>
                </c:pt>
                <c:pt idx="48">
                  <c:v>0.76363636363636367</c:v>
                </c:pt>
                <c:pt idx="49">
                  <c:v>0.76363636363636367</c:v>
                </c:pt>
                <c:pt idx="50">
                  <c:v>0.76363636363636367</c:v>
                </c:pt>
              </c:numCache>
            </c:numRef>
          </c:yVal>
          <c:smooth val="1"/>
          <c:extLst>
            <c:ext xmlns:c16="http://schemas.microsoft.com/office/drawing/2014/chart" uri="{C3380CC4-5D6E-409C-BE32-E72D297353CC}">
              <c16:uniqueId val="{00000002-B1D8-40E6-A8D9-0B7A5EBEA022}"/>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1.8053438177003931</c:v>
                </c:pt>
              </c:numCache>
            </c:numRef>
          </c:xVal>
          <c:yVal>
            <c:numRef>
              <c:f>Calculations!$B$57</c:f>
              <c:numCache>
                <c:formatCode>General</c:formatCode>
                <c:ptCount val="1"/>
                <c:pt idx="0">
                  <c:v>0.81818181818181812</c:v>
                </c:pt>
              </c:numCache>
            </c:numRef>
          </c:yVal>
          <c:smooth val="0"/>
          <c:extLst>
            <c:ext xmlns:c16="http://schemas.microsoft.com/office/drawing/2014/chart" uri="{C3380CC4-5D6E-409C-BE32-E72D297353CC}">
              <c16:uniqueId val="{00000003-B1D8-40E6-A8D9-0B7A5EBEA022}"/>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2.0701275776297838</c:v>
                </c:pt>
              </c:numCache>
            </c:numRef>
          </c:xVal>
          <c:yVal>
            <c:numRef>
              <c:f>Calculations!$B$60</c:f>
              <c:numCache>
                <c:formatCode>0.000</c:formatCode>
                <c:ptCount val="1"/>
                <c:pt idx="0">
                  <c:v>0.78181818181818186</c:v>
                </c:pt>
              </c:numCache>
            </c:numRef>
          </c:yVal>
          <c:smooth val="0"/>
          <c:extLst>
            <c:ext xmlns:c16="http://schemas.microsoft.com/office/drawing/2014/chart" uri="{C3380CC4-5D6E-409C-BE32-E72D297353CC}">
              <c16:uniqueId val="{00000004-B1D8-40E6-A8D9-0B7A5EBEA022}"/>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2.1904838321431432</c:v>
                </c:pt>
              </c:numCache>
            </c:numRef>
          </c:xVal>
          <c:yVal>
            <c:numRef>
              <c:f>Calculations!$B$63</c:f>
              <c:numCache>
                <c:formatCode>General</c:formatCode>
                <c:ptCount val="1"/>
                <c:pt idx="0">
                  <c:v>0.76363636363636367</c:v>
                </c:pt>
              </c:numCache>
            </c:numRef>
          </c:yVal>
          <c:smooth val="1"/>
          <c:extLst>
            <c:ext xmlns:c16="http://schemas.microsoft.com/office/drawing/2014/chart" uri="{C3380CC4-5D6E-409C-BE32-E72D297353CC}">
              <c16:uniqueId val="{00000005-B1D8-40E6-A8D9-0B7A5EBEA022}"/>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0.16918379914973194</c:v>
                </c:pt>
                <c:pt idx="2">
                  <c:v>0.23926202329135665</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numCache>
            </c:numRef>
          </c:yVal>
          <c:smooth val="1"/>
          <c:extLst>
            <c:ext xmlns:c16="http://schemas.microsoft.com/office/drawing/2014/chart" uri="{C3380CC4-5D6E-409C-BE32-E72D297353CC}">
              <c16:uniqueId val="{00000000-34BE-4A9D-99D7-075941836F19}"/>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0.15164217367608954</c:v>
                </c:pt>
                <c:pt idx="2">
                  <c:v>0.21445441864046216</c:v>
                </c:pt>
                <c:pt idx="3">
                  <c:v>0.21818181818181817</c:v>
                </c:pt>
                <c:pt idx="4">
                  <c:v>0.21818181818181817</c:v>
                </c:pt>
                <c:pt idx="5">
                  <c:v>0.21818181818181817</c:v>
                </c:pt>
                <c:pt idx="6">
                  <c:v>0.21818181818181817</c:v>
                </c:pt>
                <c:pt idx="7">
                  <c:v>0.21818181818181817</c:v>
                </c:pt>
                <c:pt idx="8">
                  <c:v>0.21818181818181817</c:v>
                </c:pt>
                <c:pt idx="9">
                  <c:v>0.21818181818181817</c:v>
                </c:pt>
                <c:pt idx="10">
                  <c:v>0.21818181818181817</c:v>
                </c:pt>
                <c:pt idx="11">
                  <c:v>0.21818181818181817</c:v>
                </c:pt>
                <c:pt idx="12">
                  <c:v>0.21818181818181817</c:v>
                </c:pt>
                <c:pt idx="13">
                  <c:v>0.21818181818181817</c:v>
                </c:pt>
                <c:pt idx="14">
                  <c:v>0.21818181818181817</c:v>
                </c:pt>
                <c:pt idx="15">
                  <c:v>0.21818181818181817</c:v>
                </c:pt>
                <c:pt idx="16">
                  <c:v>0.21818181818181817</c:v>
                </c:pt>
                <c:pt idx="17">
                  <c:v>0.21818181818181817</c:v>
                </c:pt>
                <c:pt idx="18">
                  <c:v>0.21818181818181817</c:v>
                </c:pt>
                <c:pt idx="19">
                  <c:v>0.21818181818181817</c:v>
                </c:pt>
                <c:pt idx="20">
                  <c:v>0.21818181818181817</c:v>
                </c:pt>
                <c:pt idx="21">
                  <c:v>0.21818181818181817</c:v>
                </c:pt>
                <c:pt idx="22">
                  <c:v>0.21818181818181817</c:v>
                </c:pt>
                <c:pt idx="23">
                  <c:v>0.21818181818181817</c:v>
                </c:pt>
                <c:pt idx="24">
                  <c:v>0.21818181818181817</c:v>
                </c:pt>
                <c:pt idx="25">
                  <c:v>0.21818181818181817</c:v>
                </c:pt>
                <c:pt idx="26">
                  <c:v>0.21818181818181817</c:v>
                </c:pt>
                <c:pt idx="27">
                  <c:v>0.21818181818181817</c:v>
                </c:pt>
                <c:pt idx="28">
                  <c:v>0.21818181818181817</c:v>
                </c:pt>
                <c:pt idx="29">
                  <c:v>0.21818181818181817</c:v>
                </c:pt>
                <c:pt idx="30">
                  <c:v>0.21818181818181817</c:v>
                </c:pt>
                <c:pt idx="31">
                  <c:v>0.21818181818181817</c:v>
                </c:pt>
                <c:pt idx="32">
                  <c:v>0.21818181818181817</c:v>
                </c:pt>
                <c:pt idx="33">
                  <c:v>0.21818181818181817</c:v>
                </c:pt>
                <c:pt idx="34">
                  <c:v>0.21818181818181817</c:v>
                </c:pt>
                <c:pt idx="35">
                  <c:v>0.21818181818181817</c:v>
                </c:pt>
                <c:pt idx="36">
                  <c:v>0.21818181818181817</c:v>
                </c:pt>
                <c:pt idx="37">
                  <c:v>0.21818181818181817</c:v>
                </c:pt>
                <c:pt idx="38">
                  <c:v>0.21818181818181817</c:v>
                </c:pt>
                <c:pt idx="39">
                  <c:v>0.21818181818181817</c:v>
                </c:pt>
                <c:pt idx="40">
                  <c:v>0.21818181818181817</c:v>
                </c:pt>
                <c:pt idx="41">
                  <c:v>0.21818181818181817</c:v>
                </c:pt>
                <c:pt idx="42">
                  <c:v>0.21818181818181817</c:v>
                </c:pt>
                <c:pt idx="43">
                  <c:v>0.21818181818181817</c:v>
                </c:pt>
                <c:pt idx="44">
                  <c:v>0.21818181818181817</c:v>
                </c:pt>
                <c:pt idx="45">
                  <c:v>0.21818181818181817</c:v>
                </c:pt>
                <c:pt idx="46">
                  <c:v>0.21818181818181817</c:v>
                </c:pt>
                <c:pt idx="47">
                  <c:v>0.21818181818181817</c:v>
                </c:pt>
                <c:pt idx="48">
                  <c:v>0.21818181818181817</c:v>
                </c:pt>
                <c:pt idx="49">
                  <c:v>0.21818181818181817</c:v>
                </c:pt>
                <c:pt idx="50">
                  <c:v>0.21818181818181817</c:v>
                </c:pt>
              </c:numCache>
            </c:numRef>
          </c:yVal>
          <c:smooth val="1"/>
          <c:extLst>
            <c:ext xmlns:c16="http://schemas.microsoft.com/office/drawing/2014/chart" uri="{C3380CC4-5D6E-409C-BE32-E72D297353CC}">
              <c16:uniqueId val="{00000001-34BE-4A9D-99D7-075941836F19}"/>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0.12352837430833152</c:v>
                </c:pt>
                <c:pt idx="2">
                  <c:v>0.17469550228474262</c:v>
                </c:pt>
                <c:pt idx="3">
                  <c:v>0.18181818181818182</c:v>
                </c:pt>
                <c:pt idx="4">
                  <c:v>0.18181818181818182</c:v>
                </c:pt>
                <c:pt idx="5">
                  <c:v>0.18181818181818182</c:v>
                </c:pt>
                <c:pt idx="6">
                  <c:v>0.18181818181818182</c:v>
                </c:pt>
                <c:pt idx="7">
                  <c:v>0.18181818181818182</c:v>
                </c:pt>
                <c:pt idx="8">
                  <c:v>0.18181818181818182</c:v>
                </c:pt>
                <c:pt idx="9">
                  <c:v>0.18181818181818182</c:v>
                </c:pt>
                <c:pt idx="10">
                  <c:v>0.18181818181818182</c:v>
                </c:pt>
                <c:pt idx="11">
                  <c:v>0.18181818181818182</c:v>
                </c:pt>
                <c:pt idx="12">
                  <c:v>0.18181818181818182</c:v>
                </c:pt>
                <c:pt idx="13">
                  <c:v>0.18181818181818182</c:v>
                </c:pt>
                <c:pt idx="14">
                  <c:v>0.18181818181818182</c:v>
                </c:pt>
                <c:pt idx="15">
                  <c:v>0.18181818181818182</c:v>
                </c:pt>
                <c:pt idx="16">
                  <c:v>0.18181818181818182</c:v>
                </c:pt>
                <c:pt idx="17">
                  <c:v>0.18181818181818182</c:v>
                </c:pt>
                <c:pt idx="18">
                  <c:v>0.18181818181818182</c:v>
                </c:pt>
                <c:pt idx="19">
                  <c:v>0.18181818181818182</c:v>
                </c:pt>
                <c:pt idx="20">
                  <c:v>0.18181818181818182</c:v>
                </c:pt>
                <c:pt idx="21">
                  <c:v>0.18181818181818182</c:v>
                </c:pt>
                <c:pt idx="22">
                  <c:v>0.18181818181818182</c:v>
                </c:pt>
                <c:pt idx="23">
                  <c:v>0.18181818181818182</c:v>
                </c:pt>
                <c:pt idx="24">
                  <c:v>0.18181818181818182</c:v>
                </c:pt>
                <c:pt idx="25">
                  <c:v>0.18181818181818182</c:v>
                </c:pt>
                <c:pt idx="26">
                  <c:v>0.18181818181818182</c:v>
                </c:pt>
                <c:pt idx="27">
                  <c:v>0.18181818181818182</c:v>
                </c:pt>
                <c:pt idx="28">
                  <c:v>0.18181818181818182</c:v>
                </c:pt>
                <c:pt idx="29">
                  <c:v>0.18181818181818182</c:v>
                </c:pt>
                <c:pt idx="30">
                  <c:v>0.18181818181818182</c:v>
                </c:pt>
                <c:pt idx="31">
                  <c:v>0.18181818181818182</c:v>
                </c:pt>
                <c:pt idx="32">
                  <c:v>0.18181818181818182</c:v>
                </c:pt>
                <c:pt idx="33">
                  <c:v>0.18181818181818182</c:v>
                </c:pt>
                <c:pt idx="34">
                  <c:v>0.18181818181818182</c:v>
                </c:pt>
                <c:pt idx="35">
                  <c:v>0.18181818181818182</c:v>
                </c:pt>
                <c:pt idx="36">
                  <c:v>0.18181818181818182</c:v>
                </c:pt>
                <c:pt idx="37">
                  <c:v>0.18181818181818182</c:v>
                </c:pt>
                <c:pt idx="38">
                  <c:v>0.18181818181818182</c:v>
                </c:pt>
                <c:pt idx="39">
                  <c:v>0.18181818181818182</c:v>
                </c:pt>
                <c:pt idx="40">
                  <c:v>0.18181818181818182</c:v>
                </c:pt>
                <c:pt idx="41">
                  <c:v>0.18181818181818182</c:v>
                </c:pt>
                <c:pt idx="42">
                  <c:v>0.18181818181818182</c:v>
                </c:pt>
                <c:pt idx="43">
                  <c:v>0.18181818181818182</c:v>
                </c:pt>
                <c:pt idx="44">
                  <c:v>0.18181818181818182</c:v>
                </c:pt>
                <c:pt idx="45">
                  <c:v>0.18181818181818182</c:v>
                </c:pt>
                <c:pt idx="46">
                  <c:v>0.18181818181818182</c:v>
                </c:pt>
                <c:pt idx="47">
                  <c:v>0.18181818181818182</c:v>
                </c:pt>
                <c:pt idx="48">
                  <c:v>0.18181818181818182</c:v>
                </c:pt>
                <c:pt idx="49">
                  <c:v>0.18181818181818182</c:v>
                </c:pt>
                <c:pt idx="50">
                  <c:v>0.18181818181818182</c:v>
                </c:pt>
              </c:numCache>
            </c:numRef>
          </c:yVal>
          <c:smooth val="1"/>
          <c:extLst>
            <c:ext xmlns:c16="http://schemas.microsoft.com/office/drawing/2014/chart" uri="{C3380CC4-5D6E-409C-BE32-E72D297353CC}">
              <c16:uniqueId val="{00000002-34BE-4A9D-99D7-075941836F19}"/>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2.0123565754633717</c:v>
                </c:pt>
              </c:numCache>
            </c:numRef>
          </c:xVal>
          <c:yVal>
            <c:numRef>
              <c:f>Calculations!$B$48</c:f>
              <c:numCache>
                <c:formatCode>General</c:formatCode>
                <c:ptCount val="1"/>
                <c:pt idx="0">
                  <c:v>0.24</c:v>
                </c:pt>
              </c:numCache>
            </c:numRef>
          </c:yVal>
          <c:smooth val="1"/>
          <c:extLst>
            <c:ext xmlns:c16="http://schemas.microsoft.com/office/drawing/2014/chart" uri="{C3380CC4-5D6E-409C-BE32-E72D297353CC}">
              <c16:uniqueId val="{00000003-34BE-4A9D-99D7-075941836F19}"/>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2.0701275776297838</c:v>
                </c:pt>
              </c:numCache>
            </c:numRef>
          </c:xVal>
          <c:yVal>
            <c:numRef>
              <c:f>Calculations!$B$51</c:f>
              <c:numCache>
                <c:formatCode>0.0000</c:formatCode>
                <c:ptCount val="1"/>
                <c:pt idx="0">
                  <c:v>0.21818181818181817</c:v>
                </c:pt>
              </c:numCache>
            </c:numRef>
          </c:yVal>
          <c:smooth val="1"/>
          <c:extLst>
            <c:ext xmlns:c16="http://schemas.microsoft.com/office/drawing/2014/chart" uri="{C3380CC4-5D6E-409C-BE32-E72D297353CC}">
              <c16:uniqueId val="{00000004-34BE-4A9D-99D7-075941836F19}"/>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fr-FR"/>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2.166412581240472</c:v>
                </c:pt>
              </c:numCache>
            </c:numRef>
          </c:xVal>
          <c:yVal>
            <c:numRef>
              <c:f>Calculations!$B$54</c:f>
              <c:numCache>
                <c:formatCode>0.000</c:formatCode>
                <c:ptCount val="1"/>
                <c:pt idx="0">
                  <c:v>0.18181818181818182</c:v>
                </c:pt>
              </c:numCache>
            </c:numRef>
          </c:yVal>
          <c:smooth val="1"/>
          <c:extLst>
            <c:ext xmlns:c16="http://schemas.microsoft.com/office/drawing/2014/chart" uri="{C3380CC4-5D6E-409C-BE32-E72D297353CC}">
              <c16:uniqueId val="{00000005-34BE-4A9D-99D7-075941836F19}"/>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Power Plant</a:t>
            </a:r>
          </a:p>
        </c:rich>
      </c:tx>
      <c:overlay val="0"/>
    </c:title>
    <c:autoTitleDeleted val="0"/>
    <c:plotArea>
      <c:layout/>
      <c:scatterChart>
        <c:scatterStyle val="lineMarker"/>
        <c:varyColors val="0"/>
        <c:ser>
          <c:idx val="0"/>
          <c:order val="0"/>
          <c:tx>
            <c:v>Power Plant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Compensation!$E$8:$E$62</c:f>
              <c:numCache>
                <c:formatCode>General</c:formatCode>
                <c:ptCount val="55"/>
                <c:pt idx="0">
                  <c:v>69.274460107020545</c:v>
                </c:pt>
                <c:pt idx="1">
                  <c:v>69.274002013256549</c:v>
                </c:pt>
                <c:pt idx="2">
                  <c:v>69.273237974313687</c:v>
                </c:pt>
                <c:pt idx="3">
                  <c:v>69.271963779583587</c:v>
                </c:pt>
                <c:pt idx="4">
                  <c:v>69.269839126237457</c:v>
                </c:pt>
                <c:pt idx="5">
                  <c:v>69.266297302271823</c:v>
                </c:pt>
                <c:pt idx="6">
                  <c:v>69.260395604070027</c:v>
                </c:pt>
                <c:pt idx="7">
                  <c:v>69.250568790104325</c:v>
                </c:pt>
                <c:pt idx="8">
                  <c:v>69.234225995874624</c:v>
                </c:pt>
                <c:pt idx="9">
                  <c:v>69.207100687759151</c:v>
                </c:pt>
                <c:pt idx="10">
                  <c:v>69.162226592447496</c:v>
                </c:pt>
                <c:pt idx="11">
                  <c:v>69.088388744175703</c:v>
                </c:pt>
                <c:pt idx="12">
                  <c:v>68.967946575448337</c:v>
                </c:pt>
                <c:pt idx="13">
                  <c:v>68.77418463201073</c:v>
                </c:pt>
                <c:pt idx="14">
                  <c:v>68.469049275101298</c:v>
                </c:pt>
                <c:pt idx="15">
                  <c:v>68.003402125626536</c:v>
                </c:pt>
                <c:pt idx="16">
                  <c:v>67.323036271865746</c:v>
                </c:pt>
                <c:pt idx="17">
                  <c:v>66.382227894434763</c:v>
                </c:pt>
                <c:pt idx="18">
                  <c:v>65.160402242958895</c:v>
                </c:pt>
                <c:pt idx="19">
                  <c:v>63.671106876371447</c:v>
                </c:pt>
                <c:pt idx="20">
                  <c:v>61.956002880932658</c:v>
                </c:pt>
                <c:pt idx="21">
                  <c:v>60.068850543734484</c:v>
                </c:pt>
                <c:pt idx="22">
                  <c:v>58.060636740846327</c:v>
                </c:pt>
                <c:pt idx="23">
                  <c:v>55.971954992307779</c:v>
                </c:pt>
                <c:pt idx="24">
                  <c:v>53.831802279320613</c:v>
                </c:pt>
                <c:pt idx="25">
                  <c:v>51.659533431005087</c:v>
                </c:pt>
                <c:pt idx="26">
                  <c:v>49.467535282098467</c:v>
                </c:pt>
                <c:pt idx="27">
                  <c:v>47.263533276843532</c:v>
                </c:pt>
                <c:pt idx="28">
                  <c:v>45.052270548814164</c:v>
                </c:pt>
                <c:pt idx="29">
                  <c:v>42.836631654743726</c:v>
                </c:pt>
                <c:pt idx="30">
                  <c:v>40.61836082386214</c:v>
                </c:pt>
                <c:pt idx="31">
                  <c:v>38.398509123293778</c:v>
                </c:pt>
                <c:pt idx="32">
                  <c:v>36.177708612058495</c:v>
                </c:pt>
                <c:pt idx="33">
                  <c:v>33.956338906369211</c:v>
                </c:pt>
                <c:pt idx="34">
                  <c:v>31.734627834625396</c:v>
                </c:pt>
                <c:pt idx="35">
                  <c:v>29.512712067910066</c:v>
                </c:pt>
                <c:pt idx="36">
                  <c:v>27.290673571305767</c:v>
                </c:pt>
                <c:pt idx="37">
                  <c:v>25.068561493424358</c:v>
                </c:pt>
                <c:pt idx="38">
                  <c:v>22.846405302338965</c:v>
                </c:pt>
                <c:pt idx="39">
                  <c:v>20.624222665224686</c:v>
                </c:pt>
                <c:pt idx="40">
                  <c:v>18.402024173824174</c:v>
                </c:pt>
                <c:pt idx="41">
                  <c:v>16.179816177917981</c:v>
                </c:pt>
                <c:pt idx="42">
                  <c:v>13.957602484170511</c:v>
                </c:pt>
                <c:pt idx="43">
                  <c:v>11.735385374642636</c:v>
                </c:pt>
                <c:pt idx="44">
                  <c:v>9.513166217403036</c:v>
                </c:pt>
                <c:pt idx="45">
                  <c:v>7.2909458325906336</c:v>
                </c:pt>
                <c:pt idx="46">
                  <c:v>5.0687247118670387</c:v>
                </c:pt>
                <c:pt idx="47">
                  <c:v>2.8465031499759954</c:v>
                </c:pt>
                <c:pt idx="48">
                  <c:v>0.62428132361200872</c:v>
                </c:pt>
                <c:pt idx="49">
                  <c:v>-1.5979406612994296</c:v>
                </c:pt>
                <c:pt idx="50">
                  <c:v>-3.820162741257576</c:v>
                </c:pt>
                <c:pt idx="51">
                  <c:v>-6.0423848781946887</c:v>
                </c:pt>
                <c:pt idx="52">
                  <c:v>-8.2646070492898485</c:v>
                </c:pt>
                <c:pt idx="53">
                  <c:v>-10.486829240862258</c:v>
                </c:pt>
                <c:pt idx="54">
                  <c:v>-12.709051444710326</c:v>
                </c:pt>
              </c:numCache>
            </c:numRef>
          </c:yVal>
          <c:smooth val="0"/>
          <c:extLst>
            <c:ext xmlns:c16="http://schemas.microsoft.com/office/drawing/2014/chart" uri="{C3380CC4-5D6E-409C-BE32-E72D297353CC}">
              <c16:uniqueId val="{00000000-B60F-4613-B8B9-F473AF184045}"/>
            </c:ext>
          </c:extLst>
        </c:ser>
        <c:dLbls>
          <c:showLegendKey val="0"/>
          <c:showVal val="0"/>
          <c:showCatName val="0"/>
          <c:showSerName val="0"/>
          <c:showPercent val="0"/>
          <c:showBubbleSize val="0"/>
        </c:dLbls>
        <c:axId val="220836608"/>
        <c:axId val="220838528"/>
      </c:scatterChart>
      <c:scatterChart>
        <c:scatterStyle val="lineMarker"/>
        <c:varyColors val="0"/>
        <c:ser>
          <c:idx val="1"/>
          <c:order val="1"/>
          <c:tx>
            <c:v>Power Plant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Compensation!$F$8:$F$62</c:f>
              <c:numCache>
                <c:formatCode>General</c:formatCode>
                <c:ptCount val="55"/>
                <c:pt idx="0">
                  <c:v>-0.71996210430958318</c:v>
                </c:pt>
                <c:pt idx="1">
                  <c:v>-0.92983412018777478</c:v>
                </c:pt>
                <c:pt idx="2">
                  <c:v>-1.2008565202685735</c:v>
                </c:pt>
                <c:pt idx="3">
                  <c:v>-1.5508141506010311</c:v>
                </c:pt>
                <c:pt idx="4">
                  <c:v>-2.0026268528078668</c:v>
                </c:pt>
                <c:pt idx="5">
                  <c:v>-2.5857888586992179</c:v>
                </c:pt>
                <c:pt idx="6">
                  <c:v>-3.3381617496959461</c:v>
                </c:pt>
                <c:pt idx="7">
                  <c:v>-4.3081491404853356</c:v>
                </c:pt>
                <c:pt idx="8">
                  <c:v>-5.55720647530904</c:v>
                </c:pt>
                <c:pt idx="9">
                  <c:v>-7.1624558067258368</c:v>
                </c:pt>
                <c:pt idx="10">
                  <c:v>-9.2187727668206918</c:v>
                </c:pt>
                <c:pt idx="11">
                  <c:v>-11.838908039836076</c:v>
                </c:pt>
                <c:pt idx="12">
                  <c:v>-15.148778702491143</c:v>
                </c:pt>
                <c:pt idx="13">
                  <c:v>-19.273033196810712</c:v>
                </c:pt>
                <c:pt idx="14">
                  <c:v>-24.304503625401161</c:v>
                </c:pt>
                <c:pt idx="15">
                  <c:v>-30.254125314251191</c:v>
                </c:pt>
                <c:pt idx="16">
                  <c:v>-36.991962199523023</c:v>
                </c:pt>
                <c:pt idx="17">
                  <c:v>-44.215041949458985</c:v>
                </c:pt>
                <c:pt idx="18">
                  <c:v>-51.488112746033678</c:v>
                </c:pt>
                <c:pt idx="19">
                  <c:v>-58.361138504646298</c:v>
                </c:pt>
                <c:pt idx="20">
                  <c:v>-64.496318449035186</c:v>
                </c:pt>
                <c:pt idx="21">
                  <c:v>-69.727489134561623</c:v>
                </c:pt>
                <c:pt idx="22">
                  <c:v>-74.040179979548597</c:v>
                </c:pt>
                <c:pt idx="23">
                  <c:v>-77.514506826448596</c:v>
                </c:pt>
                <c:pt idx="24">
                  <c:v>-80.271536800313655</c:v>
                </c:pt>
                <c:pt idx="25">
                  <c:v>-82.438579443418774</c:v>
                </c:pt>
                <c:pt idx="26">
                  <c:v>-84.131844280182591</c:v>
                </c:pt>
                <c:pt idx="27">
                  <c:v>-85.450134690878926</c:v>
                </c:pt>
                <c:pt idx="28">
                  <c:v>-86.474238008505495</c:v>
                </c:pt>
                <c:pt idx="29">
                  <c:v>-87.268750256629687</c:v>
                </c:pt>
                <c:pt idx="30">
                  <c:v>-87.884650913053662</c:v>
                </c:pt>
                <c:pt idx="31">
                  <c:v>-88.361863960120544</c:v>
                </c:pt>
                <c:pt idx="32">
                  <c:v>-88.731512334696902</c:v>
                </c:pt>
                <c:pt idx="33">
                  <c:v>-89.017791798680122</c:v>
                </c:pt>
                <c:pt idx="34">
                  <c:v>-89.239482023706074</c:v>
                </c:pt>
                <c:pt idx="35">
                  <c:v>-89.411144700172656</c:v>
                </c:pt>
                <c:pt idx="36">
                  <c:v>-89.544064297602191</c:v>
                </c:pt>
                <c:pt idx="37">
                  <c:v>-89.646982559617314</c:v>
                </c:pt>
                <c:pt idx="38">
                  <c:v>-89.726670031299193</c:v>
                </c:pt>
                <c:pt idx="39">
                  <c:v>-89.788369888856749</c:v>
                </c:pt>
                <c:pt idx="40">
                  <c:v>-89.836142192327941</c:v>
                </c:pt>
                <c:pt idx="41">
                  <c:v>-89.873130711865869</c:v>
                </c:pt>
                <c:pt idx="42">
                  <c:v>-89.901769653450046</c:v>
                </c:pt>
                <c:pt idx="43">
                  <c:v>-89.923943780283679</c:v>
                </c:pt>
                <c:pt idx="44">
                  <c:v>-89.941112417378562</c:v>
                </c:pt>
                <c:pt idx="45">
                  <c:v>-89.954405476985315</c:v>
                </c:pt>
                <c:pt idx="46">
                  <c:v>-89.964697813716</c:v>
                </c:pt>
                <c:pt idx="47">
                  <c:v>-89.972666797855737</c:v>
                </c:pt>
                <c:pt idx="48">
                  <c:v>-89.978836893605319</c:v>
                </c:pt>
                <c:pt idx="49">
                  <c:v>-89.983614175007432</c:v>
                </c:pt>
                <c:pt idx="50">
                  <c:v>-89.98731305065894</c:v>
                </c:pt>
                <c:pt idx="51">
                  <c:v>-89.990176955816906</c:v>
                </c:pt>
                <c:pt idx="52">
                  <c:v>-89.992394373605819</c:v>
                </c:pt>
                <c:pt idx="53">
                  <c:v>-89.994111239685097</c:v>
                </c:pt>
                <c:pt idx="54">
                  <c:v>-89.995440546745712</c:v>
                </c:pt>
              </c:numCache>
            </c:numRef>
          </c:yVal>
          <c:smooth val="0"/>
          <c:extLst>
            <c:ext xmlns:c16="http://schemas.microsoft.com/office/drawing/2014/chart" uri="{C3380CC4-5D6E-409C-BE32-E72D297353CC}">
              <c16:uniqueId val="{00000001-B60F-4613-B8B9-F473AF184045}"/>
            </c:ext>
          </c:extLst>
        </c:ser>
        <c:dLbls>
          <c:showLegendKey val="0"/>
          <c:showVal val="0"/>
          <c:showCatName val="0"/>
          <c:showSerName val="0"/>
          <c:showPercent val="0"/>
          <c:showBubbleSize val="0"/>
        </c:dLbls>
        <c:axId val="220887680"/>
        <c:axId val="220886144"/>
      </c:scatterChart>
      <c:valAx>
        <c:axId val="220836608"/>
        <c:scaling>
          <c:logBase val="10"/>
          <c:orientation val="minMax"/>
          <c:min val="10"/>
        </c:scaling>
        <c:delete val="0"/>
        <c:axPos val="b"/>
        <c:majorGridlines/>
        <c:minorGridlines/>
        <c:numFmt formatCode="General" sourceLinked="1"/>
        <c:majorTickMark val="out"/>
        <c:minorTickMark val="cross"/>
        <c:tickLblPos val="low"/>
        <c:crossAx val="220838528"/>
        <c:crosses val="autoZero"/>
        <c:crossBetween val="midCat"/>
      </c:valAx>
      <c:valAx>
        <c:axId val="220838528"/>
        <c:scaling>
          <c:orientation val="minMax"/>
          <c:max val="60"/>
          <c:min val="-40"/>
        </c:scaling>
        <c:delete val="0"/>
        <c:axPos val="l"/>
        <c:majorGridlines/>
        <c:numFmt formatCode="General" sourceLinked="1"/>
        <c:majorTickMark val="out"/>
        <c:minorTickMark val="none"/>
        <c:tickLblPos val="nextTo"/>
        <c:crossAx val="220836608"/>
        <c:crosses val="autoZero"/>
        <c:crossBetween val="midCat"/>
        <c:majorUnit val="20"/>
      </c:valAx>
      <c:valAx>
        <c:axId val="220886144"/>
        <c:scaling>
          <c:orientation val="minMax"/>
          <c:max val="180"/>
          <c:min val="-180"/>
        </c:scaling>
        <c:delete val="0"/>
        <c:axPos val="r"/>
        <c:numFmt formatCode="General" sourceLinked="1"/>
        <c:majorTickMark val="out"/>
        <c:minorTickMark val="none"/>
        <c:tickLblPos val="nextTo"/>
        <c:crossAx val="220887680"/>
        <c:crosses val="max"/>
        <c:crossBetween val="midCat"/>
        <c:majorUnit val="45"/>
      </c:valAx>
      <c:valAx>
        <c:axId val="220887680"/>
        <c:scaling>
          <c:logBase val="10"/>
          <c:orientation val="minMax"/>
        </c:scaling>
        <c:delete val="1"/>
        <c:axPos val="b"/>
        <c:numFmt formatCode="General" sourceLinked="1"/>
        <c:majorTickMark val="out"/>
        <c:minorTickMark val="none"/>
        <c:tickLblPos val="nextTo"/>
        <c:crossAx val="220886144"/>
        <c:crosses val="autoZero"/>
        <c:crossBetween val="midCat"/>
      </c:valAx>
    </c:plotArea>
    <c:legend>
      <c:legendPos val="l"/>
      <c:layout>
        <c:manualLayout>
          <c:xMode val="edge"/>
          <c:yMode val="edge"/>
          <c:x val="0.69820093925399296"/>
          <c:y val="0.16336876104743336"/>
          <c:w val="0.22001818778535392"/>
          <c:h val="0.13077712429615321"/>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Compensation</a:t>
            </a:r>
          </a:p>
        </c:rich>
      </c:tx>
      <c:overlay val="0"/>
    </c:title>
    <c:autoTitleDeleted val="0"/>
    <c:plotArea>
      <c:layout/>
      <c:scatterChart>
        <c:scatterStyle val="lineMarker"/>
        <c:varyColors val="0"/>
        <c:ser>
          <c:idx val="0"/>
          <c:order val="0"/>
          <c:tx>
            <c:v>Compensation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Compensation!$H$8:$H$62</c:f>
              <c:numCache>
                <c:formatCode>General</c:formatCode>
                <c:ptCount val="55"/>
                <c:pt idx="0">
                  <c:v>45.448024626435107</c:v>
                </c:pt>
                <c:pt idx="1">
                  <c:v>43.225802743529982</c:v>
                </c:pt>
                <c:pt idx="2">
                  <c:v>41.003581087322694</c:v>
                </c:pt>
                <c:pt idx="3">
                  <c:v>38.781359809270171</c:v>
                </c:pt>
                <c:pt idx="4">
                  <c:v>36.559139162017402</c:v>
                </c:pt>
                <c:pt idx="5">
                  <c:v>34.33691956700131</c:v>
                </c:pt>
                <c:pt idx="6">
                  <c:v>32.11470172721954</c:v>
                </c:pt>
                <c:pt idx="7">
                  <c:v>29.892486815338692</c:v>
                </c:pt>
                <c:pt idx="8">
                  <c:v>27.670276787473412</c:v>
                </c:pt>
                <c:pt idx="9">
                  <c:v>25.448074906588232</c:v>
                </c:pt>
                <c:pt idx="10">
                  <c:v>23.225886615548919</c:v>
                </c:pt>
                <c:pt idx="11">
                  <c:v>21.003720993360147</c:v>
                </c:pt>
                <c:pt idx="12">
                  <c:v>18.781593184039902</c:v>
                </c:pt>
                <c:pt idx="13">
                  <c:v>16.559528447454884</c:v>
                </c:pt>
                <c:pt idx="14">
                  <c:v>14.337568914378876</c:v>
                </c:pt>
                <c:pt idx="15">
                  <c:v>12.115784848645996</c:v>
                </c:pt>
                <c:pt idx="16">
                  <c:v>9.8942934169716192</c:v>
                </c:pt>
                <c:pt idx="17">
                  <c:v>7.6732899527972007</c:v>
                </c:pt>
                <c:pt idx="18">
                  <c:v>5.4530999794141035</c:v>
                </c:pt>
                <c:pt idx="19">
                  <c:v>3.2342656341032887</c:v>
                </c:pt>
                <c:pt idx="20">
                  <c:v>1.0176888464254306</c:v>
                </c:pt>
                <c:pt idx="21">
                  <c:v>-1.1951325517547369</c:v>
                </c:pt>
                <c:pt idx="22">
                  <c:v>-3.4017184752402985</c:v>
                </c:pt>
                <c:pt idx="23">
                  <c:v>-5.5979826266518709</c:v>
                </c:pt>
                <c:pt idx="24">
                  <c:v>-7.7772470865817658</c:v>
                </c:pt>
                <c:pt idx="25">
                  <c:v>-9.9287453383080528</c:v>
                </c:pt>
                <c:pt idx="26">
                  <c:v>-12.035501466611711</c:v>
                </c:pt>
                <c:pt idx="27">
                  <c:v>-14.071706130323507</c:v>
                </c:pt>
                <c:pt idx="28">
                  <c:v>-16.000365776087374</c:v>
                </c:pt>
                <c:pt idx="29">
                  <c:v>-17.773234907289183</c:v>
                </c:pt>
                <c:pt idx="30">
                  <c:v>-19.336241256952032</c:v>
                </c:pt>
                <c:pt idx="31">
                  <c:v>-20.642486744367091</c:v>
                </c:pt>
                <c:pt idx="32">
                  <c:v>-21.669078867750081</c:v>
                </c:pt>
                <c:pt idx="33">
                  <c:v>-22.427281725905477</c:v>
                </c:pt>
                <c:pt idx="34">
                  <c:v>-22.957926397081682</c:v>
                </c:pt>
                <c:pt idx="35">
                  <c:v>-23.316075257967658</c:v>
                </c:pt>
                <c:pt idx="36">
                  <c:v>-23.556127255859703</c:v>
                </c:pt>
                <c:pt idx="37">
                  <c:v>-23.724231257469079</c:v>
                </c:pt>
                <c:pt idx="38">
                  <c:v>-23.857744122338044</c:v>
                </c:pt>
                <c:pt idx="39">
                  <c:v>-23.988659781650004</c:v>
                </c:pt>
                <c:pt idx="40">
                  <c:v>-24.148538099860207</c:v>
                </c:pt>
                <c:pt idx="41">
                  <c:v>-24.3735301629182</c:v>
                </c:pt>
                <c:pt idx="42">
                  <c:v>-24.708196754660364</c:v>
                </c:pt>
                <c:pt idx="43">
                  <c:v>-25.205856862051558</c:v>
                </c:pt>
                <c:pt idx="44">
                  <c:v>-25.922344551725089</c:v>
                </c:pt>
                <c:pt idx="45">
                  <c:v>-26.902084114625055</c:v>
                </c:pt>
                <c:pt idx="46">
                  <c:v>-28.162043774455942</c:v>
                </c:pt>
                <c:pt idx="47">
                  <c:v>-29.68471705768097</c:v>
                </c:pt>
                <c:pt idx="48">
                  <c:v>-31.426093671574101</c:v>
                </c:pt>
                <c:pt idx="49">
                  <c:v>-33.332202629135878</c:v>
                </c:pt>
                <c:pt idx="50">
                  <c:v>-35.353240774250857</c:v>
                </c:pt>
                <c:pt idx="51">
                  <c:v>-37.450221823609276</c:v>
                </c:pt>
                <c:pt idx="52">
                  <c:v>-39.595591657718948</c:v>
                </c:pt>
                <c:pt idx="53">
                  <c:v>-41.771080300350157</c:v>
                </c:pt>
                <c:pt idx="54">
                  <c:v>-43.965043025913324</c:v>
                </c:pt>
              </c:numCache>
            </c:numRef>
          </c:yVal>
          <c:smooth val="0"/>
          <c:extLst>
            <c:ext xmlns:c16="http://schemas.microsoft.com/office/drawing/2014/chart" uri="{C3380CC4-5D6E-409C-BE32-E72D297353CC}">
              <c16:uniqueId val="{00000000-C47B-4110-AC0D-2089B50AFCB5}"/>
            </c:ext>
          </c:extLst>
        </c:ser>
        <c:dLbls>
          <c:showLegendKey val="0"/>
          <c:showVal val="0"/>
          <c:showCatName val="0"/>
          <c:showSerName val="0"/>
          <c:showPercent val="0"/>
          <c:showBubbleSize val="0"/>
        </c:dLbls>
        <c:axId val="220981120"/>
        <c:axId val="221385088"/>
      </c:scatterChart>
      <c:scatterChart>
        <c:scatterStyle val="lineMarker"/>
        <c:varyColors val="0"/>
        <c:ser>
          <c:idx val="1"/>
          <c:order val="1"/>
          <c:tx>
            <c:v>Compensation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Compensation!$I$8:$I$62</c:f>
              <c:numCache>
                <c:formatCode>General</c:formatCode>
                <c:ptCount val="55"/>
                <c:pt idx="0">
                  <c:v>90.019025469823475</c:v>
                </c:pt>
                <c:pt idx="1">
                  <c:v>90.024572338517359</c:v>
                </c:pt>
                <c:pt idx="2">
                  <c:v>90.031736394159026</c:v>
                </c:pt>
                <c:pt idx="3">
                  <c:v>90.040989126181913</c:v>
                </c:pt>
                <c:pt idx="4">
                  <c:v>90.052939485590514</c:v>
                </c:pt>
                <c:pt idx="5">
                  <c:v>90.06837396066345</c:v>
                </c:pt>
                <c:pt idx="6">
                  <c:v>90.088308335360978</c:v>
                </c:pt>
                <c:pt idx="7">
                  <c:v>90.114054534963998</c:v>
                </c:pt>
                <c:pt idx="8">
                  <c:v>90.147306954256521</c:v>
                </c:pt>
                <c:pt idx="9">
                  <c:v>90.190253941130507</c:v>
                </c:pt>
                <c:pt idx="10">
                  <c:v>90.245721754049683</c:v>
                </c:pt>
                <c:pt idx="11">
                  <c:v>90.317360427467989</c:v>
                </c:pt>
                <c:pt idx="12">
                  <c:v>90.409883690971853</c:v>
                </c:pt>
                <c:pt idx="13">
                  <c:v>90.529378545368118</c:v>
                </c:pt>
                <c:pt idx="14">
                  <c:v>90.683704467936835</c:v>
                </c:pt>
                <c:pt idx="15">
                  <c:v>90.883007654212932</c:v>
                </c:pt>
                <c:pt idx="16">
                  <c:v>91.140382276878995</c:v>
                </c:pt>
                <c:pt idx="17">
                  <c:v>91.472718272753681</c:v>
                </c:pt>
                <c:pt idx="18">
                  <c:v>91.901782838238816</c:v>
                </c:pt>
                <c:pt idx="19">
                  <c:v>92.455588324504745</c:v>
                </c:pt>
                <c:pt idx="20">
                  <c:v>93.170097002900533</c:v>
                </c:pt>
                <c:pt idx="21">
                  <c:v>94.091290643607891</c:v>
                </c:pt>
                <c:pt idx="22">
                  <c:v>95.277563026809659</c:v>
                </c:pt>
                <c:pt idx="23">
                  <c:v>96.80222126688183</c:v>
                </c:pt>
                <c:pt idx="24">
                  <c:v>98.755502130630333</c:v>
                </c:pt>
                <c:pt idx="25">
                  <c:v>101.24474547116813</c:v>
                </c:pt>
                <c:pt idx="26">
                  <c:v>104.38999636391812</c:v>
                </c:pt>
                <c:pt idx="27">
                  <c:v>108.31030457869423</c:v>
                </c:pt>
                <c:pt idx="28">
                  <c:v>113.09434707419722</c:v>
                </c:pt>
                <c:pt idx="29">
                  <c:v>118.7513355459988</c:v>
                </c:pt>
                <c:pt idx="30">
                  <c:v>125.15106127407323</c:v>
                </c:pt>
                <c:pt idx="31">
                  <c:v>131.98659104841502</c:v>
                </c:pt>
                <c:pt idx="32">
                  <c:v>138.8064771684453</c:v>
                </c:pt>
                <c:pt idx="33">
                  <c:v>145.1260075836467</c:v>
                </c:pt>
                <c:pt idx="34">
                  <c:v>150.55511642358428</c:v>
                </c:pt>
                <c:pt idx="35">
                  <c:v>154.86290429356617</c:v>
                </c:pt>
                <c:pt idx="36">
                  <c:v>157.96063843028926</c:v>
                </c:pt>
                <c:pt idx="37">
                  <c:v>159.84332337061142</c:v>
                </c:pt>
                <c:pt idx="38">
                  <c:v>160.53288685644054</c:v>
                </c:pt>
                <c:pt idx="39">
                  <c:v>160.04208625401441</c:v>
                </c:pt>
                <c:pt idx="40">
                  <c:v>158.36158256771242</c:v>
                </c:pt>
                <c:pt idx="41">
                  <c:v>155.46911223723507</c:v>
                </c:pt>
                <c:pt idx="42">
                  <c:v>151.36162708423191</c:v>
                </c:pt>
                <c:pt idx="43">
                  <c:v>146.10932067819348</c:v>
                </c:pt>
                <c:pt idx="44">
                  <c:v>139.91622348909127</c:v>
                </c:pt>
                <c:pt idx="45">
                  <c:v>133.14772100901357</c:v>
                </c:pt>
                <c:pt idx="46">
                  <c:v>126.28063640067806</c:v>
                </c:pt>
                <c:pt idx="47">
                  <c:v>119.78136357902629</c:v>
                </c:pt>
                <c:pt idx="48">
                  <c:v>113.98579879911567</c:v>
                </c:pt>
                <c:pt idx="49">
                  <c:v>109.05259576067319</c:v>
                </c:pt>
                <c:pt idx="50">
                  <c:v>104.99183882978804</c:v>
                </c:pt>
                <c:pt idx="51">
                  <c:v>101.7242598338899</c:v>
                </c:pt>
                <c:pt idx="52">
                  <c:v>99.133340030155054</c:v>
                </c:pt>
                <c:pt idx="53">
                  <c:v>97.09790024169051</c:v>
                </c:pt>
                <c:pt idx="54">
                  <c:v>95.507974963361562</c:v>
                </c:pt>
              </c:numCache>
            </c:numRef>
          </c:yVal>
          <c:smooth val="0"/>
          <c:extLst>
            <c:ext xmlns:c16="http://schemas.microsoft.com/office/drawing/2014/chart" uri="{C3380CC4-5D6E-409C-BE32-E72D297353CC}">
              <c16:uniqueId val="{00000001-C47B-4110-AC0D-2089B50AFCB5}"/>
            </c:ext>
          </c:extLst>
        </c:ser>
        <c:dLbls>
          <c:showLegendKey val="0"/>
          <c:showVal val="0"/>
          <c:showCatName val="0"/>
          <c:showSerName val="0"/>
          <c:showPercent val="0"/>
          <c:showBubbleSize val="0"/>
        </c:dLbls>
        <c:axId val="222761344"/>
        <c:axId val="221386624"/>
      </c:scatterChart>
      <c:valAx>
        <c:axId val="220981120"/>
        <c:scaling>
          <c:logBase val="10"/>
          <c:orientation val="minMax"/>
          <c:min val="10"/>
        </c:scaling>
        <c:delete val="0"/>
        <c:axPos val="b"/>
        <c:majorGridlines/>
        <c:minorGridlines/>
        <c:numFmt formatCode="General" sourceLinked="1"/>
        <c:majorTickMark val="out"/>
        <c:minorTickMark val="cross"/>
        <c:tickLblPos val="low"/>
        <c:crossAx val="221385088"/>
        <c:crosses val="autoZero"/>
        <c:crossBetween val="midCat"/>
      </c:valAx>
      <c:valAx>
        <c:axId val="221385088"/>
        <c:scaling>
          <c:orientation val="minMax"/>
          <c:max val="60"/>
          <c:min val="-40"/>
        </c:scaling>
        <c:delete val="0"/>
        <c:axPos val="l"/>
        <c:majorGridlines/>
        <c:numFmt formatCode="General" sourceLinked="1"/>
        <c:majorTickMark val="out"/>
        <c:minorTickMark val="none"/>
        <c:tickLblPos val="nextTo"/>
        <c:crossAx val="220981120"/>
        <c:crosses val="autoZero"/>
        <c:crossBetween val="midCat"/>
        <c:majorUnit val="20"/>
      </c:valAx>
      <c:valAx>
        <c:axId val="221386624"/>
        <c:scaling>
          <c:orientation val="minMax"/>
          <c:max val="180"/>
          <c:min val="-180"/>
        </c:scaling>
        <c:delete val="0"/>
        <c:axPos val="r"/>
        <c:numFmt formatCode="General" sourceLinked="1"/>
        <c:majorTickMark val="out"/>
        <c:minorTickMark val="none"/>
        <c:tickLblPos val="nextTo"/>
        <c:crossAx val="222761344"/>
        <c:crosses val="max"/>
        <c:crossBetween val="midCat"/>
        <c:majorUnit val="45"/>
      </c:valAx>
      <c:valAx>
        <c:axId val="222761344"/>
        <c:scaling>
          <c:logBase val="10"/>
          <c:orientation val="minMax"/>
        </c:scaling>
        <c:delete val="1"/>
        <c:axPos val="b"/>
        <c:numFmt formatCode="General" sourceLinked="1"/>
        <c:majorTickMark val="out"/>
        <c:minorTickMark val="none"/>
        <c:tickLblPos val="nextTo"/>
        <c:crossAx val="221386624"/>
        <c:crosses val="autoZero"/>
        <c:crossBetween val="midCat"/>
      </c:valAx>
    </c:plotArea>
    <c:legend>
      <c:legendPos val="l"/>
      <c:layout>
        <c:manualLayout>
          <c:xMode val="edge"/>
          <c:yMode val="edge"/>
          <c:x val="0.65602831874863543"/>
          <c:y val="0.38756332343240335"/>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svg"/><Relationship Id="rId18" Type="http://schemas.openxmlformats.org/officeDocument/2006/relationships/image" Target="../media/image7.png"/><Relationship Id="rId3" Type="http://schemas.openxmlformats.org/officeDocument/2006/relationships/image" Target="../media/image1.jpg"/><Relationship Id="rId21" Type="http://schemas.openxmlformats.org/officeDocument/2006/relationships/image" Target="../media/image15.svg"/><Relationship Id="rId7" Type="http://schemas.openxmlformats.org/officeDocument/2006/relationships/image" Target="../media/image3.svg"/><Relationship Id="rId12" Type="http://schemas.openxmlformats.org/officeDocument/2006/relationships/image" Target="../media/image4.png"/><Relationship Id="rId17" Type="http://schemas.openxmlformats.org/officeDocument/2006/relationships/image" Target="../media/image11.svg"/><Relationship Id="rId2" Type="http://schemas.openxmlformats.org/officeDocument/2006/relationships/hyperlink" Target="http://www.ti.com/product/lm5171-q1" TargetMode="External"/><Relationship Id="rId16" Type="http://schemas.openxmlformats.org/officeDocument/2006/relationships/image" Target="../media/image6.png"/><Relationship Id="rId20" Type="http://schemas.openxmlformats.org/officeDocument/2006/relationships/image" Target="../media/image8.png"/><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5.xml"/><Relationship Id="rId5" Type="http://schemas.openxmlformats.org/officeDocument/2006/relationships/chart" Target="../charts/chart3.xml"/><Relationship Id="rId15" Type="http://schemas.openxmlformats.org/officeDocument/2006/relationships/image" Target="../media/image9.svg"/><Relationship Id="rId10" Type="http://schemas.openxmlformats.org/officeDocument/2006/relationships/chart" Target="../charts/chart4.xml"/><Relationship Id="rId19" Type="http://schemas.openxmlformats.org/officeDocument/2006/relationships/image" Target="../media/image13.svg"/><Relationship Id="rId4" Type="http://schemas.openxmlformats.org/officeDocument/2006/relationships/chart" Target="../charts/chart2.xml"/><Relationship Id="rId9" Type="http://schemas.openxmlformats.org/officeDocument/2006/relationships/image" Target="../media/image5.svg"/><Relationship Id="rId1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9.gif"/><Relationship Id="rId1" Type="http://schemas.openxmlformats.org/officeDocument/2006/relationships/hyperlink" Target="http://www.ti.com" TargetMode="External"/></Relationships>
</file>

<file path=xl/drawings/drawing1.xml><?xml version="1.0" encoding="utf-8"?>
<xdr:wsDr xmlns:xdr="http://schemas.openxmlformats.org/drawingml/2006/spreadsheetDrawing" xmlns:a="http://schemas.openxmlformats.org/drawingml/2006/main">
  <xdr:twoCellAnchor>
    <xdr:from>
      <xdr:col>8</xdr:col>
      <xdr:colOff>136498</xdr:colOff>
      <xdr:row>148</xdr:row>
      <xdr:rowOff>66098</xdr:rowOff>
    </xdr:from>
    <xdr:to>
      <xdr:col>19</xdr:col>
      <xdr:colOff>2302</xdr:colOff>
      <xdr:row>167</xdr:row>
      <xdr:rowOff>174928</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2283071</xdr:colOff>
      <xdr:row>3</xdr:row>
      <xdr:rowOff>774</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896" b="8304"/>
        <a:stretch/>
      </xdr:blipFill>
      <xdr:spPr>
        <a:xfrm>
          <a:off x="0" y="0"/>
          <a:ext cx="2283071" cy="538656"/>
        </a:xfrm>
        <a:prstGeom prst="rect">
          <a:avLst/>
        </a:prstGeom>
      </xdr:spPr>
    </xdr:pic>
    <xdr:clientData/>
  </xdr:twoCellAnchor>
  <xdr:twoCellAnchor>
    <xdr:from>
      <xdr:col>15</xdr:col>
      <xdr:colOff>51288</xdr:colOff>
      <xdr:row>73</xdr:row>
      <xdr:rowOff>38832</xdr:rowOff>
    </xdr:from>
    <xdr:to>
      <xdr:col>15</xdr:col>
      <xdr:colOff>205154</xdr:colOff>
      <xdr:row>73</xdr:row>
      <xdr:rowOff>178043</xdr:rowOff>
    </xdr:to>
    <xdr:sp macro="" textlink="">
      <xdr:nvSpPr>
        <xdr:cNvPr id="19" name="Oval 18">
          <a:extLst>
            <a:ext uri="{FF2B5EF4-FFF2-40B4-BE49-F238E27FC236}">
              <a16:creationId xmlns:a16="http://schemas.microsoft.com/office/drawing/2014/main" id="{00000000-0008-0000-0000-000013000000}"/>
            </a:ext>
          </a:extLst>
        </xdr:cNvPr>
        <xdr:cNvSpPr/>
      </xdr:nvSpPr>
      <xdr:spPr>
        <a:xfrm>
          <a:off x="11747988" y="14173932"/>
          <a:ext cx="153866" cy="1392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134593</xdr:colOff>
      <xdr:row>170</xdr:row>
      <xdr:rowOff>8964</xdr:rowOff>
    </xdr:from>
    <xdr:to>
      <xdr:col>19</xdr:col>
      <xdr:colOff>2301</xdr:colOff>
      <xdr:row>187</xdr:row>
      <xdr:rowOff>13247</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188</xdr:row>
      <xdr:rowOff>17393</xdr:rowOff>
    </xdr:from>
    <xdr:to>
      <xdr:col>19</xdr:col>
      <xdr:colOff>1059</xdr:colOff>
      <xdr:row>205</xdr:row>
      <xdr:rowOff>22774</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75511</xdr:colOff>
      <xdr:row>192</xdr:row>
      <xdr:rowOff>220485</xdr:rowOff>
    </xdr:from>
    <xdr:to>
      <xdr:col>8</xdr:col>
      <xdr:colOff>53285</xdr:colOff>
      <xdr:row>202</xdr:row>
      <xdr:rowOff>113456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4407315" y="39322681"/>
          <a:ext cx="3100318" cy="2129275"/>
        </a:xfrm>
        <a:prstGeom prst="rect">
          <a:avLst/>
        </a:prstGeom>
      </xdr:spPr>
    </xdr:pic>
    <xdr:clientData/>
  </xdr:twoCellAnchor>
  <xdr:twoCellAnchor editAs="oneCell">
    <xdr:from>
      <xdr:col>3</xdr:col>
      <xdr:colOff>84385</xdr:colOff>
      <xdr:row>174</xdr:row>
      <xdr:rowOff>81332</xdr:rowOff>
    </xdr:from>
    <xdr:to>
      <xdr:col>8</xdr:col>
      <xdr:colOff>17219</xdr:colOff>
      <xdr:row>183</xdr:row>
      <xdr:rowOff>175351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4416189" y="35580593"/>
          <a:ext cx="3055378" cy="2098410"/>
        </a:xfrm>
        <a:prstGeom prst="rect">
          <a:avLst/>
        </a:prstGeom>
      </xdr:spPr>
    </xdr:pic>
    <xdr:clientData/>
  </xdr:twoCellAnchor>
  <xdr:twoCellAnchor>
    <xdr:from>
      <xdr:col>11</xdr:col>
      <xdr:colOff>285254</xdr:colOff>
      <xdr:row>69</xdr:row>
      <xdr:rowOff>6626</xdr:rowOff>
    </xdr:from>
    <xdr:to>
      <xdr:col>18</xdr:col>
      <xdr:colOff>237629</xdr:colOff>
      <xdr:row>84</xdr:row>
      <xdr:rowOff>141684</xdr:rowOff>
    </xdr:to>
    <xdr:graphicFrame macro="">
      <xdr:nvGraphicFramePr>
        <xdr:cNvPr id="23" name="Chart 22">
          <a:extLst>
            <a:ext uri="{FF2B5EF4-FFF2-40B4-BE49-F238E27FC236}">
              <a16:creationId xmlns:a16="http://schemas.microsoft.com/office/drawing/2014/main" id="{11479CB3-2E04-45DE-97A4-7FE8E08A1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428129</xdr:colOff>
      <xdr:row>69</xdr:row>
      <xdr:rowOff>527</xdr:rowOff>
    </xdr:from>
    <xdr:to>
      <xdr:col>10</xdr:col>
      <xdr:colOff>409079</xdr:colOff>
      <xdr:row>84</xdr:row>
      <xdr:rowOff>149087</xdr:rowOff>
    </xdr:to>
    <xdr:graphicFrame macro="">
      <xdr:nvGraphicFramePr>
        <xdr:cNvPr id="24" name="Chart 23">
          <a:extLst>
            <a:ext uri="{FF2B5EF4-FFF2-40B4-BE49-F238E27FC236}">
              <a16:creationId xmlns:a16="http://schemas.microsoft.com/office/drawing/2014/main" id="{BF8813A4-09F6-4099-B576-FC255CA20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371227</xdr:colOff>
      <xdr:row>90</xdr:row>
      <xdr:rowOff>75530</xdr:rowOff>
    </xdr:from>
    <xdr:to>
      <xdr:col>18</xdr:col>
      <xdr:colOff>539444</xdr:colOff>
      <xdr:row>98</xdr:row>
      <xdr:rowOff>157370</xdr:rowOff>
    </xdr:to>
    <xdr:pic>
      <xdr:nvPicPr>
        <xdr:cNvPr id="7" name="Picture 6">
          <a:extLst>
            <a:ext uri="{FF2B5EF4-FFF2-40B4-BE49-F238E27FC236}">
              <a16:creationId xmlns:a16="http://schemas.microsoft.com/office/drawing/2014/main" id="{DD70EA7D-FAA2-495F-801D-F2E13F16C9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4703031" y="18173030"/>
          <a:ext cx="9651804" cy="1812905"/>
        </a:xfrm>
        <a:prstGeom prst="rect">
          <a:avLst/>
        </a:prstGeom>
      </xdr:spPr>
    </xdr:pic>
    <xdr:clientData/>
  </xdr:twoCellAnchor>
  <xdr:twoCellAnchor editAs="oneCell">
    <xdr:from>
      <xdr:col>4</xdr:col>
      <xdr:colOff>106349</xdr:colOff>
      <xdr:row>116</xdr:row>
      <xdr:rowOff>92634</xdr:rowOff>
    </xdr:from>
    <xdr:to>
      <xdr:col>10</xdr:col>
      <xdr:colOff>334040</xdr:colOff>
      <xdr:row>125</xdr:row>
      <xdr:rowOff>49696</xdr:rowOff>
    </xdr:to>
    <xdr:pic>
      <xdr:nvPicPr>
        <xdr:cNvPr id="14" name="Picture 13">
          <a:extLst>
            <a:ext uri="{FF2B5EF4-FFF2-40B4-BE49-F238E27FC236}">
              <a16:creationId xmlns:a16="http://schemas.microsoft.com/office/drawing/2014/main" id="{A090BBE4-0BE9-4943-A596-3C76E8888FF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5051066" y="23457873"/>
          <a:ext cx="3963148" cy="2011149"/>
        </a:xfrm>
        <a:prstGeom prst="rect">
          <a:avLst/>
        </a:prstGeom>
      </xdr:spPr>
    </xdr:pic>
    <xdr:clientData/>
  </xdr:twoCellAnchor>
  <xdr:twoCellAnchor editAs="oneCell">
    <xdr:from>
      <xdr:col>4</xdr:col>
      <xdr:colOff>73881</xdr:colOff>
      <xdr:row>130</xdr:row>
      <xdr:rowOff>57158</xdr:rowOff>
    </xdr:from>
    <xdr:to>
      <xdr:col>11</xdr:col>
      <xdr:colOff>166031</xdr:colOff>
      <xdr:row>138</xdr:row>
      <xdr:rowOff>8282</xdr:rowOff>
    </xdr:to>
    <xdr:pic>
      <xdr:nvPicPr>
        <xdr:cNvPr id="8" name="Picture 7">
          <a:extLst>
            <a:ext uri="{FF2B5EF4-FFF2-40B4-BE49-F238E27FC236}">
              <a16:creationId xmlns:a16="http://schemas.microsoft.com/office/drawing/2014/main" id="{E55E7BF0-5861-4CF1-A435-80AE1FD3F6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 xmlns:asvg="http://schemas.microsoft.com/office/drawing/2016/SVG/main" r:embed="rId17"/>
            </a:ext>
          </a:extLst>
        </a:blip>
        <a:stretch>
          <a:fillRect/>
        </a:stretch>
      </xdr:blipFill>
      <xdr:spPr>
        <a:xfrm>
          <a:off x="5018598" y="26445549"/>
          <a:ext cx="4440520" cy="1615929"/>
        </a:xfrm>
        <a:prstGeom prst="rect">
          <a:avLst/>
        </a:prstGeom>
      </xdr:spPr>
    </xdr:pic>
    <xdr:clientData/>
  </xdr:twoCellAnchor>
  <xdr:twoCellAnchor editAs="oneCell">
    <xdr:from>
      <xdr:col>3</xdr:col>
      <xdr:colOff>88894</xdr:colOff>
      <xdr:row>147</xdr:row>
      <xdr:rowOff>185643</xdr:rowOff>
    </xdr:from>
    <xdr:to>
      <xdr:col>8</xdr:col>
      <xdr:colOff>19766</xdr:colOff>
      <xdr:row>160</xdr:row>
      <xdr:rowOff>211924</xdr:rowOff>
    </xdr:to>
    <xdr:pic>
      <xdr:nvPicPr>
        <xdr:cNvPr id="16" name="Picture 15">
          <a:extLst>
            <a:ext uri="{FF2B5EF4-FFF2-40B4-BE49-F238E27FC236}">
              <a16:creationId xmlns:a16="http://schemas.microsoft.com/office/drawing/2014/main" id="{2B0ED0F8-9295-4AE8-9595-BCA72FC1DB6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4420698" y="29895360"/>
          <a:ext cx="3053416" cy="2883781"/>
        </a:xfrm>
        <a:prstGeom prst="rect">
          <a:avLst/>
        </a:prstGeom>
      </xdr:spPr>
    </xdr:pic>
    <xdr:clientData/>
  </xdr:twoCellAnchor>
  <xdr:twoCellAnchor editAs="oneCell">
    <xdr:from>
      <xdr:col>3</xdr:col>
      <xdr:colOff>400417</xdr:colOff>
      <xdr:row>10</xdr:row>
      <xdr:rowOff>34786</xdr:rowOff>
    </xdr:from>
    <xdr:to>
      <xdr:col>17</xdr:col>
      <xdr:colOff>730596</xdr:colOff>
      <xdr:row>66</xdr:row>
      <xdr:rowOff>50180</xdr:rowOff>
    </xdr:to>
    <xdr:pic>
      <xdr:nvPicPr>
        <xdr:cNvPr id="5" name="Picture 4">
          <a:extLst>
            <a:ext uri="{FF2B5EF4-FFF2-40B4-BE49-F238E27FC236}">
              <a16:creationId xmlns:a16="http://schemas.microsoft.com/office/drawing/2014/main" id="{16ED57DF-A281-4372-8DA3-D8A653C66EF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4724767" y="1920736"/>
          <a:ext cx="8921729" cy="11264419"/>
        </a:xfrm>
        <a:prstGeom prst="rect">
          <a:avLst/>
        </a:prstGeom>
      </xdr:spPr>
    </xdr:pic>
    <xdr:clientData/>
  </xdr:twoCellAnchor>
  <xdr:twoCellAnchor>
    <xdr:from>
      <xdr:col>9</xdr:col>
      <xdr:colOff>225137</xdr:colOff>
      <xdr:row>162</xdr:row>
      <xdr:rowOff>86591</xdr:rowOff>
    </xdr:from>
    <xdr:to>
      <xdr:col>12</xdr:col>
      <xdr:colOff>319199</xdr:colOff>
      <xdr:row>163</xdr:row>
      <xdr:rowOff>30381</xdr:rowOff>
    </xdr:to>
    <xdr:sp macro="" textlink="Compensation!AD46">
      <xdr:nvSpPr>
        <xdr:cNvPr id="17" name="TextBox 14">
          <a:extLst>
            <a:ext uri="{FF2B5EF4-FFF2-40B4-BE49-F238E27FC236}">
              <a16:creationId xmlns:a16="http://schemas.microsoft.com/office/drawing/2014/main" id="{195E6FCF-FDEB-44CB-97DA-167BD650BA8B}"/>
            </a:ext>
          </a:extLst>
        </xdr:cNvPr>
        <xdr:cNvSpPr txBox="1"/>
      </xdr:nvSpPr>
      <xdr:spPr>
        <a:xfrm>
          <a:off x="8243455" y="32731364"/>
          <a:ext cx="1912471" cy="1862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EB2E94E3-E584-4E22-BB1D-4AC7B23193B9}" type="TxLink">
            <a:rPr lang="en-US" sz="1100" b="1" i="0" u="none" strike="noStrike">
              <a:solidFill>
                <a:schemeClr val="accent1"/>
              </a:solidFill>
              <a:latin typeface="Calibri"/>
              <a:cs typeface="Calibri"/>
            </a:rPr>
            <a:pPr/>
            <a:t>Crossover Frequency = 15.1 kHz</a:t>
          </a:fld>
          <a:endParaRPr lang="en-US" sz="2400" b="1">
            <a:solidFill>
              <a:schemeClr val="accent1"/>
            </a:solidFill>
            <a:latin typeface="+mn-lt"/>
            <a:cs typeface="Arial" panose="020B0604020202020204" pitchFamily="34" charset="0"/>
          </a:endParaRPr>
        </a:p>
      </xdr:txBody>
    </xdr:sp>
    <xdr:clientData/>
  </xdr:twoCellAnchor>
  <xdr:twoCellAnchor>
    <xdr:from>
      <xdr:col>9</xdr:col>
      <xdr:colOff>221675</xdr:colOff>
      <xdr:row>164</xdr:row>
      <xdr:rowOff>5196</xdr:rowOff>
    </xdr:from>
    <xdr:to>
      <xdr:col>11</xdr:col>
      <xdr:colOff>311728</xdr:colOff>
      <xdr:row>164</xdr:row>
      <xdr:rowOff>183931</xdr:rowOff>
    </xdr:to>
    <xdr:sp macro="" textlink="Compensation!AD47">
      <xdr:nvSpPr>
        <xdr:cNvPr id="18" name="TextBox 14">
          <a:extLst>
            <a:ext uri="{FF2B5EF4-FFF2-40B4-BE49-F238E27FC236}">
              <a16:creationId xmlns:a16="http://schemas.microsoft.com/office/drawing/2014/main" id="{1A81911A-0D8E-471F-96EF-9289299579C5}"/>
            </a:ext>
          </a:extLst>
        </xdr:cNvPr>
        <xdr:cNvSpPr txBox="1"/>
      </xdr:nvSpPr>
      <xdr:spPr>
        <a:xfrm>
          <a:off x="8275227" y="33066799"/>
          <a:ext cx="1311880" cy="1787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7E07AFCF-77FB-47C4-BF82-E1779C96325E}" type="TxLink">
            <a:rPr lang="en-US" sz="1100" b="1" i="0" u="none" strike="noStrike">
              <a:solidFill>
                <a:srgbClr val="C00000"/>
              </a:solidFill>
              <a:latin typeface="Calibri"/>
              <a:cs typeface="Calibri"/>
            </a:rPr>
            <a:pPr/>
            <a:t>Phase Margin = 71°</a:t>
          </a:fld>
          <a:endParaRPr lang="en-US" sz="2400" b="1">
            <a:solidFill>
              <a:srgbClr val="C00000"/>
            </a:solidFill>
            <a:latin typeface="+mn-lt"/>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0.10018</cdr:x>
      <cdr:y>0.71611</cdr:y>
    </cdr:from>
    <cdr:to>
      <cdr:x>0.38219</cdr:x>
      <cdr:y>0.76554</cdr:y>
    </cdr:to>
    <cdr:sp macro="" textlink="Compensation!$AK$128">
      <cdr:nvSpPr>
        <cdr:cNvPr id="2" name="TextBox 14">
          <a:extLst xmlns:a="http://schemas.openxmlformats.org/drawingml/2006/main">
            <a:ext uri="{FF2B5EF4-FFF2-40B4-BE49-F238E27FC236}">
              <a16:creationId xmlns:a16="http://schemas.microsoft.com/office/drawing/2014/main" id="{195E6FCF-FDEB-44CB-97DA-167BD650BA8B}"/>
            </a:ext>
          </a:extLst>
        </cdr:cNvPr>
        <cdr:cNvSpPr txBox="1"/>
      </cdr:nvSpPr>
      <cdr:spPr>
        <a:xfrm xmlns:a="http://schemas.openxmlformats.org/drawingml/2006/main">
          <a:off x="685398" y="2660263"/>
          <a:ext cx="1929418" cy="18362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571CB637-A595-49C5-A731-75963E740014}" type="TxLink">
            <a:rPr lang="en-US" sz="1100" b="1" i="0" u="none" strike="noStrike">
              <a:solidFill>
                <a:schemeClr val="accent1"/>
              </a:solidFill>
              <a:latin typeface="Calibri"/>
              <a:ea typeface="+mn-ea"/>
              <a:cs typeface="Calibri"/>
            </a:rPr>
            <a:pPr marL="0" indent="0"/>
            <a:t>Crossover Frequency = 1.3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0.10075</cdr:x>
      <cdr:y>0.77713</cdr:y>
    </cdr:from>
    <cdr:to>
      <cdr:x>0.2928</cdr:x>
      <cdr:y>0.82645</cdr:y>
    </cdr:to>
    <cdr:sp macro="" textlink="Compensation!$AK$129">
      <cdr:nvSpPr>
        <cdr:cNvPr id="3" name="TextBox 14">
          <a:extLst xmlns:a="http://schemas.openxmlformats.org/drawingml/2006/main">
            <a:ext uri="{FF2B5EF4-FFF2-40B4-BE49-F238E27FC236}">
              <a16:creationId xmlns:a16="http://schemas.microsoft.com/office/drawing/2014/main" id="{1A81911A-0D8E-471F-96EF-9289299579C5}"/>
            </a:ext>
          </a:extLst>
        </cdr:cNvPr>
        <cdr:cNvSpPr txBox="1"/>
      </cdr:nvSpPr>
      <cdr:spPr>
        <a:xfrm xmlns:a="http://schemas.openxmlformats.org/drawingml/2006/main">
          <a:off x="689298" y="2886946"/>
          <a:ext cx="1313941" cy="18321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CD44E736-3079-4010-BF0A-2FF4ED155B18}" type="TxLink">
            <a:rPr lang="en-US" sz="1100" b="1" i="0" u="none" strike="noStrike">
              <a:solidFill>
                <a:srgbClr val="C00000"/>
              </a:solidFill>
              <a:latin typeface="Calibri"/>
              <a:ea typeface="+mn-ea"/>
              <a:cs typeface="Calibri"/>
            </a:rPr>
            <a:pPr marL="0" indent="0"/>
            <a:t>Phase Margin = 80°</a:t>
          </a:fld>
          <a:endParaRPr lang="en-US" sz="1100" b="1" i="0" u="none" strike="noStrike">
            <a:solidFill>
              <a:srgbClr val="C00000"/>
            </a:solidFill>
            <a:latin typeface="Calibri"/>
            <a:ea typeface="+mn-ea"/>
            <a:cs typeface="Calibri"/>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0.10153</cdr:x>
      <cdr:y>0.71778</cdr:y>
    </cdr:from>
    <cdr:to>
      <cdr:x>0.38435</cdr:x>
      <cdr:y>0.76719</cdr:y>
    </cdr:to>
    <cdr:sp macro="" textlink="Compensation!$AK$217">
      <cdr:nvSpPr>
        <cdr:cNvPr id="2" name="TextBox 14">
          <a:extLst xmlns:a="http://schemas.openxmlformats.org/drawingml/2006/main">
            <a:ext uri="{FF2B5EF4-FFF2-40B4-BE49-F238E27FC236}">
              <a16:creationId xmlns:a16="http://schemas.microsoft.com/office/drawing/2014/main" id="{7DFFBA52-CB87-46DC-BBD0-BC269C9B2679}"/>
            </a:ext>
          </a:extLst>
        </cdr:cNvPr>
        <cdr:cNvSpPr txBox="1"/>
      </cdr:nvSpPr>
      <cdr:spPr>
        <a:xfrm xmlns:a="http://schemas.openxmlformats.org/drawingml/2006/main">
          <a:off x="692700" y="2667269"/>
          <a:ext cx="1929572" cy="1836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EFC15940-C90C-4432-BF4D-6790ADA7B94A}" type="TxLink">
            <a:rPr lang="en-US" sz="1100" b="1" i="0" u="none" strike="noStrike">
              <a:solidFill>
                <a:schemeClr val="accent1"/>
              </a:solidFill>
              <a:latin typeface="Calibri"/>
              <a:ea typeface="+mn-ea"/>
              <a:cs typeface="Calibri"/>
            </a:rPr>
            <a:pPr marL="0" indent="0"/>
            <a:t>Crossover Frequency = 1.8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0.10186</cdr:x>
      <cdr:y>0.77736</cdr:y>
    </cdr:from>
    <cdr:to>
      <cdr:x>0.29445</cdr:x>
      <cdr:y>0.82667</cdr:y>
    </cdr:to>
    <cdr:sp macro="" textlink="Compensation!$AK$218">
      <cdr:nvSpPr>
        <cdr:cNvPr id="3" name="TextBox 14">
          <a:extLst xmlns:a="http://schemas.openxmlformats.org/drawingml/2006/main">
            <a:ext uri="{FF2B5EF4-FFF2-40B4-BE49-F238E27FC236}">
              <a16:creationId xmlns:a16="http://schemas.microsoft.com/office/drawing/2014/main" id="{BA5545DC-57BA-471F-974E-C1FC032F5915}"/>
            </a:ext>
          </a:extLst>
        </cdr:cNvPr>
        <cdr:cNvSpPr txBox="1"/>
      </cdr:nvSpPr>
      <cdr:spPr>
        <a:xfrm xmlns:a="http://schemas.openxmlformats.org/drawingml/2006/main">
          <a:off x="694952" y="2888668"/>
          <a:ext cx="1313967" cy="18323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16C044E2-B621-411D-8501-E719163EF9F7}" type="TxLink">
            <a:rPr lang="en-US" sz="1100" b="1" i="0" u="none" strike="noStrike">
              <a:solidFill>
                <a:srgbClr val="C00000"/>
              </a:solidFill>
              <a:latin typeface="Calibri"/>
              <a:ea typeface="+mn-ea"/>
              <a:cs typeface="Calibri"/>
            </a:rPr>
            <a:pPr marL="0" indent="0"/>
            <a:t>Phase Margin = 78°</a:t>
          </a:fld>
          <a:endParaRPr lang="en-US" sz="1100" b="1" i="0" u="none" strike="noStrike">
            <a:solidFill>
              <a:srgbClr val="C00000"/>
            </a:solidFill>
            <a:latin typeface="Calibri"/>
            <a:ea typeface="+mn-ea"/>
            <a:cs typeface="Calibri"/>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403539</xdr:colOff>
      <xdr:row>14</xdr:row>
      <xdr:rowOff>57686</xdr:rowOff>
    </xdr:from>
    <xdr:to>
      <xdr:col>38</xdr:col>
      <xdr:colOff>95250</xdr:colOff>
      <xdr:row>33</xdr:row>
      <xdr:rowOff>9806</xdr:rowOff>
    </xdr:to>
    <xdr:graphicFrame macro="">
      <xdr:nvGraphicFramePr>
        <xdr:cNvPr id="4" name="Chart 3">
          <a:extLst>
            <a:ext uri="{FF2B5EF4-FFF2-40B4-BE49-F238E27FC236}">
              <a16:creationId xmlns:a16="http://schemas.microsoft.com/office/drawing/2014/main" id="{F5CBAC80-3B6A-4224-BFA3-DA4C22E7B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7099</xdr:colOff>
      <xdr:row>14</xdr:row>
      <xdr:rowOff>113749</xdr:rowOff>
    </xdr:from>
    <xdr:to>
      <xdr:col>26</xdr:col>
      <xdr:colOff>96896</xdr:colOff>
      <xdr:row>33</xdr:row>
      <xdr:rowOff>81668</xdr:rowOff>
    </xdr:to>
    <xdr:graphicFrame macro="">
      <xdr:nvGraphicFramePr>
        <xdr:cNvPr id="5" name="Chart 4">
          <a:extLst>
            <a:ext uri="{FF2B5EF4-FFF2-40B4-BE49-F238E27FC236}">
              <a16:creationId xmlns:a16="http://schemas.microsoft.com/office/drawing/2014/main" id="{332C74A6-993E-4C16-B9C6-84634B54E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612320</xdr:colOff>
      <xdr:row>5</xdr:row>
      <xdr:rowOff>176894</xdr:rowOff>
    </xdr:from>
    <xdr:to>
      <xdr:col>22</xdr:col>
      <xdr:colOff>511971</xdr:colOff>
      <xdr:row>23</xdr:row>
      <xdr:rowOff>69522</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598714</xdr:colOff>
      <xdr:row>24</xdr:row>
      <xdr:rowOff>0</xdr:rowOff>
    </xdr:from>
    <xdr:to>
      <xdr:col>22</xdr:col>
      <xdr:colOff>498365</xdr:colOff>
      <xdr:row>42</xdr:row>
      <xdr:rowOff>83128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27214</xdr:colOff>
      <xdr:row>44</xdr:row>
      <xdr:rowOff>0</xdr:rowOff>
    </xdr:from>
    <xdr:to>
      <xdr:col>22</xdr:col>
      <xdr:colOff>539186</xdr:colOff>
      <xdr:row>62</xdr:row>
      <xdr:rowOff>83128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69274</xdr:colOff>
      <xdr:row>167</xdr:row>
      <xdr:rowOff>123825</xdr:rowOff>
    </xdr:from>
    <xdr:to>
      <xdr:col>43</xdr:col>
      <xdr:colOff>548452</xdr:colOff>
      <xdr:row>187</xdr:row>
      <xdr:rowOff>138113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125867</xdr:colOff>
      <xdr:row>77</xdr:row>
      <xdr:rowOff>551397</xdr:rowOff>
    </xdr:from>
    <xdr:to>
      <xdr:col>43</xdr:col>
      <xdr:colOff>88284</xdr:colOff>
      <xdr:row>99</xdr:row>
      <xdr:rowOff>143864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101</xdr:row>
      <xdr:rowOff>0</xdr:rowOff>
    </xdr:from>
    <xdr:to>
      <xdr:col>39</xdr:col>
      <xdr:colOff>370494</xdr:colOff>
      <xdr:row>120</xdr:row>
      <xdr:rowOff>96075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189</xdr:row>
      <xdr:rowOff>23812</xdr:rowOff>
    </xdr:from>
    <xdr:to>
      <xdr:col>39</xdr:col>
      <xdr:colOff>275244</xdr:colOff>
      <xdr:row>208</xdr:row>
      <xdr:rowOff>119887</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66626</xdr:rowOff>
    </xdr:to>
    <xdr:pic>
      <xdr:nvPicPr>
        <xdr:cNvPr id="2" name="Picture 1" descr="ti logo">
          <a:hlinkClick xmlns:r="http://schemas.openxmlformats.org/officeDocument/2006/relationships" r:id="rId1"/>
          <a:extLst>
            <a:ext uri="{FF2B5EF4-FFF2-40B4-BE49-F238E27FC236}">
              <a16:creationId xmlns:a16="http://schemas.microsoft.com/office/drawing/2014/main" id="{7F4A31C9-CC8E-4C7E-874A-5BF5441C9C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76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F1BDFA78-8DE2-4207-B9BD-96352FCE71EA}"/>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ECCC6192-3A7D-44E4-A46B-A07AED784DC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2024</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47624</xdr:rowOff>
    </xdr:from>
    <xdr:ext cx="11229977" cy="4219576"/>
    <xdr:sp macro="" textlink="">
      <xdr:nvSpPr>
        <xdr:cNvPr id="5" name="TextBox 4">
          <a:extLst>
            <a:ext uri="{FF2B5EF4-FFF2-40B4-BE49-F238E27FC236}">
              <a16:creationId xmlns:a16="http://schemas.microsoft.com/office/drawing/2014/main" id="{D27F3F2E-5CFA-4D29-B5A0-C07AB4F1E69C}"/>
            </a:ext>
          </a:extLst>
        </xdr:cNvPr>
        <xdr:cNvSpPr txBox="1"/>
      </xdr:nvSpPr>
      <xdr:spPr>
        <a:xfrm>
          <a:off x="95247" y="1133474"/>
          <a:ext cx="11229977" cy="421957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t">
          <a:noAutofit/>
        </a:bodyPr>
        <a:lstStyle/>
        <a:p>
          <a:pPr algn="ctr" eaLnBrk="1" fontAlgn="auto" latinLnBrk="0" hangingPunct="1"/>
          <a:r>
            <a:rPr lang="en-US" sz="1800" b="1" i="0" baseline="0">
              <a:solidFill>
                <a:schemeClr val="tx1"/>
              </a:solidFill>
              <a:effectLst/>
              <a:latin typeface="+mn-lt"/>
              <a:ea typeface="+mn-ea"/>
              <a:cs typeface="+mn-cs"/>
            </a:rPr>
            <a:t>IMPORTANT NOTICE AND DISCLAIMER</a:t>
          </a:r>
          <a:endParaRPr lang="en-US" sz="1800">
            <a:effectLst/>
          </a:endParaRPr>
        </a:p>
        <a:p>
          <a:pPr eaLnBrk="1" fontAlgn="auto" latinLnBrk="0" hangingPunct="1"/>
          <a:r>
            <a:rPr lang="en-US" sz="1100" b="0" i="0" baseline="0">
              <a:solidFill>
                <a:schemeClr val="tx1"/>
              </a:solidFill>
              <a:effectLst/>
              <a:latin typeface="+mn-lt"/>
              <a:ea typeface="+mn-ea"/>
              <a:cs typeface="+mn-cs"/>
            </a:rPr>
            <a:t/>
          </a:r>
          <a:br>
            <a:rPr lang="en-US" sz="1100" b="0" i="0" baseline="0">
              <a:solidFill>
                <a:schemeClr val="tx1"/>
              </a:solidFill>
              <a:effectLst/>
              <a:latin typeface="+mn-lt"/>
              <a:ea typeface="+mn-ea"/>
              <a:cs typeface="+mn-cs"/>
            </a:rPr>
          </a:br>
          <a:r>
            <a:rPr lang="en-US" sz="1100" b="0" i="0" baseline="0">
              <a:solidFill>
                <a:schemeClr val="tx1"/>
              </a:solidFill>
              <a:effectLst/>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endParaRPr lang="en-US" sz="1100">
            <a:effectLst/>
          </a:endParaRPr>
        </a:p>
        <a:p>
          <a:pPr eaLnBrk="1" fontAlgn="auto" latinLnBrk="0" hangingPunct="1"/>
          <a:r>
            <a:rPr lang="en-US" sz="1100" b="0" i="0" baseline="0">
              <a:solidFill>
                <a:schemeClr val="tx1"/>
              </a:solidFill>
              <a:effectLst/>
              <a:latin typeface="+mn-lt"/>
              <a:ea typeface="+mn-ea"/>
              <a:cs typeface="+mn-cs"/>
            </a:rPr>
            <a:t/>
          </a:r>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 objects to and rejects any additional or different terms you may have proposed. </a:t>
          </a:r>
          <a:endParaRPr lang="en-US" sz="1100">
            <a:effectLst/>
          </a:endParaRPr>
        </a:p>
        <a:p>
          <a:pPr algn="ctr" eaLnBrk="1" fontAlgn="auto" latinLnBrk="0" hangingPunct="1"/>
          <a:r>
            <a:rPr lang="en-US" sz="1100" b="0" i="0" baseline="0">
              <a:solidFill>
                <a:schemeClr val="tx1"/>
              </a:solidFill>
              <a:effectLst/>
              <a:latin typeface="+mn-lt"/>
              <a:ea typeface="+mn-ea"/>
              <a:cs typeface="+mn-cs"/>
            </a:rPr>
            <a:t/>
          </a:r>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Mailing Address: Texas Instruments, Post Office Box 655303, Dallas, Texas 75265</a:t>
          </a:r>
          <a:endParaRPr lang="en-US" sz="1800">
            <a:effectLst/>
          </a:endParaRPr>
        </a:p>
        <a:p>
          <a:pPr algn="ctr" eaLnBrk="1" fontAlgn="auto" latinLnBrk="0" hangingPunct="1"/>
          <a:r>
            <a:rPr lang="en-US" sz="1100">
              <a:solidFill>
                <a:schemeClr val="tx1"/>
              </a:solidFill>
              <a:effectLst/>
              <a:latin typeface="+mn-lt"/>
              <a:ea typeface="+mn-ea"/>
              <a:cs typeface="+mn-cs"/>
            </a:rPr>
            <a:t>Copyright © 2024, Texas Instruments Incorporated</a:t>
          </a:r>
          <a:endParaRPr lang="en-US" sz="1800">
            <a:effectLst/>
          </a:endParaRP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D7DD9A64-977C-4777-B92B-61BAA5145A67}"/>
            </a:ext>
          </a:extLst>
        </xdr:cNvPr>
        <xdr:cNvSpPr txBox="1"/>
      </xdr:nvSpPr>
      <xdr:spPr>
        <a:xfrm>
          <a:off x="99057" y="544624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i.com/tool/SYNC-BOOST-FET-LOSS-CALC" TargetMode="External"/><Relationship Id="rId1" Type="http://schemas.openxmlformats.org/officeDocument/2006/relationships/hyperlink" Target="https://www.ti.com/tool/SYNC-BUCK-FET-LOSS-CAL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V211"/>
  <sheetViews>
    <sheetView tabSelected="1" topLeftCell="A186" zoomScaleNormal="100" workbookViewId="0">
      <selection activeCell="B18" sqref="B18"/>
    </sheetView>
  </sheetViews>
  <sheetFormatPr baseColWidth="10" defaultColWidth="9.140625" defaultRowHeight="15"/>
  <cols>
    <col min="1" max="1" width="50.140625" style="136" customWidth="1"/>
    <col min="2" max="2" width="10" style="137" customWidth="1"/>
    <col min="3" max="3" width="4.7109375" style="137" customWidth="1"/>
    <col min="4" max="4" width="9.140625" style="138"/>
    <col min="5" max="5" width="10" style="137" bestFit="1" customWidth="1"/>
    <col min="6" max="9" width="9.140625" style="137"/>
    <col min="10" max="10" width="9.140625" style="137" customWidth="1"/>
    <col min="11" max="17" width="9.140625" style="137"/>
    <col min="18" max="18" width="12.7109375" style="137" customWidth="1"/>
    <col min="19" max="19" width="9.140625" style="158"/>
    <col min="20" max="20" width="9.140625" style="138"/>
    <col min="21" max="16384" width="9.140625" style="137"/>
  </cols>
  <sheetData>
    <row r="1" spans="1:22" s="268" customFormat="1">
      <c r="A1" s="267" t="s">
        <v>353</v>
      </c>
    </row>
    <row r="2" spans="1:22" s="270" customFormat="1">
      <c r="A2" s="269"/>
    </row>
    <row r="3" spans="1:22" s="270" customFormat="1" ht="12.75" customHeight="1">
      <c r="A3" s="269"/>
    </row>
    <row r="4" spans="1:22" s="125" customFormat="1" ht="15.75" thickBot="1">
      <c r="A4" s="124"/>
      <c r="F4" s="126"/>
      <c r="G4" s="126"/>
      <c r="H4" s="126"/>
      <c r="I4" s="126"/>
      <c r="J4" s="126"/>
      <c r="K4" s="126"/>
      <c r="L4" s="126"/>
      <c r="M4" s="126"/>
      <c r="N4" s="126"/>
      <c r="O4" s="126"/>
      <c r="P4" s="126"/>
      <c r="Q4" s="126"/>
      <c r="R4" s="126"/>
      <c r="S4" s="127"/>
      <c r="T4" s="126"/>
      <c r="U4" s="126"/>
      <c r="V4" s="126"/>
    </row>
    <row r="5" spans="1:22" s="125" customFormat="1" ht="15.75" thickBot="1">
      <c r="A5" s="128"/>
      <c r="B5" s="129"/>
      <c r="C5" s="130" t="s">
        <v>115</v>
      </c>
      <c r="F5" s="126"/>
      <c r="G5" s="131" t="s">
        <v>242</v>
      </c>
      <c r="H5" s="131"/>
      <c r="I5" s="131"/>
      <c r="K5" s="126"/>
      <c r="L5" s="126"/>
      <c r="M5" s="126"/>
      <c r="N5" s="126"/>
      <c r="O5" s="126"/>
      <c r="P5" s="126"/>
      <c r="R5" s="200" t="s">
        <v>243</v>
      </c>
      <c r="S5" s="127"/>
      <c r="T5" s="126"/>
      <c r="U5" s="126"/>
      <c r="V5" s="126"/>
    </row>
    <row r="6" spans="1:22" s="133" customFormat="1" ht="15.75" thickBot="1">
      <c r="A6" s="132"/>
      <c r="F6" s="134"/>
      <c r="G6" s="134"/>
      <c r="H6" s="134"/>
      <c r="I6" s="134"/>
      <c r="J6" s="134"/>
      <c r="K6" s="134"/>
      <c r="L6" s="134"/>
      <c r="M6" s="134"/>
      <c r="N6" s="134"/>
      <c r="O6" s="134"/>
      <c r="P6" s="134"/>
      <c r="Q6" s="134"/>
      <c r="R6" s="134"/>
      <c r="S6" s="135"/>
      <c r="T6" s="134"/>
      <c r="U6" s="134"/>
      <c r="V6" s="134"/>
    </row>
    <row r="7" spans="1:22">
      <c r="F7" s="139"/>
      <c r="G7" s="139"/>
      <c r="H7" s="139"/>
      <c r="I7" s="139"/>
      <c r="J7" s="139"/>
      <c r="K7" s="139"/>
      <c r="L7" s="139"/>
      <c r="M7" s="139"/>
      <c r="N7" s="139"/>
      <c r="O7" s="139"/>
      <c r="P7" s="139"/>
      <c r="Q7" s="139"/>
      <c r="R7" s="139"/>
      <c r="S7" s="140"/>
      <c r="T7" s="139"/>
      <c r="U7" s="139"/>
      <c r="V7" s="139"/>
    </row>
    <row r="8" spans="1:22" ht="18.75" customHeight="1">
      <c r="A8" s="255" t="s">
        <v>352</v>
      </c>
      <c r="B8" s="255"/>
      <c r="C8" s="255"/>
      <c r="F8" s="139"/>
      <c r="O8" s="139"/>
      <c r="P8" s="139"/>
      <c r="Q8" s="139"/>
      <c r="R8" s="139"/>
      <c r="S8" s="140"/>
      <c r="T8" s="139"/>
      <c r="U8" s="139"/>
      <c r="V8" s="139"/>
    </row>
    <row r="9" spans="1:22" ht="8.1" customHeight="1" thickBot="1">
      <c r="A9" s="141"/>
      <c r="B9" s="141"/>
      <c r="C9" s="141"/>
      <c r="F9" s="139"/>
      <c r="O9" s="139"/>
      <c r="P9" s="139"/>
      <c r="Q9" s="139"/>
      <c r="R9" s="139"/>
      <c r="S9" s="140"/>
      <c r="T9" s="139"/>
      <c r="U9" s="139"/>
      <c r="V9" s="139"/>
    </row>
    <row r="10" spans="1:22" ht="17.25" customHeight="1" thickBot="1">
      <c r="A10" s="256" t="s">
        <v>264</v>
      </c>
      <c r="B10" s="257"/>
      <c r="C10" s="258"/>
      <c r="F10" s="139"/>
      <c r="G10" s="266" t="s">
        <v>239</v>
      </c>
      <c r="H10" s="266"/>
      <c r="I10" s="266"/>
      <c r="J10" s="266"/>
      <c r="K10" s="266"/>
      <c r="L10" s="266"/>
      <c r="M10" s="266"/>
      <c r="N10" s="266"/>
      <c r="O10" s="142"/>
      <c r="P10" s="139"/>
      <c r="Q10" s="139"/>
      <c r="R10" s="139"/>
      <c r="S10" s="140"/>
      <c r="T10" s="139"/>
      <c r="U10" s="139"/>
      <c r="V10" s="139"/>
    </row>
    <row r="11" spans="1:22" ht="15" customHeight="1">
      <c r="A11" s="171" t="s">
        <v>269</v>
      </c>
      <c r="B11" s="166">
        <v>50</v>
      </c>
      <c r="C11" s="144" t="s">
        <v>1</v>
      </c>
      <c r="E11" s="139"/>
      <c r="F11" s="139"/>
      <c r="G11" s="266"/>
      <c r="H11" s="266"/>
      <c r="I11" s="266"/>
      <c r="J11" s="266"/>
      <c r="K11" s="266"/>
      <c r="L11" s="266"/>
      <c r="M11" s="266"/>
      <c r="N11" s="266"/>
      <c r="O11" s="139"/>
      <c r="P11" s="139"/>
      <c r="Q11" s="139"/>
      <c r="R11" s="139"/>
      <c r="S11" s="140"/>
      <c r="T11" s="139"/>
      <c r="U11" s="139"/>
      <c r="V11" s="139"/>
    </row>
    <row r="12" spans="1:22" ht="15" customHeight="1">
      <c r="A12" s="171" t="s">
        <v>270</v>
      </c>
      <c r="B12" s="166">
        <v>55</v>
      </c>
      <c r="C12" s="144" t="s">
        <v>1</v>
      </c>
      <c r="E12" s="139"/>
      <c r="F12" s="139"/>
      <c r="G12" s="139"/>
      <c r="H12" s="139"/>
      <c r="I12" s="139"/>
      <c r="J12" s="139"/>
      <c r="K12" s="139"/>
      <c r="L12" s="139"/>
      <c r="M12" s="139"/>
      <c r="N12" s="139"/>
      <c r="O12" s="139"/>
      <c r="P12" s="139"/>
      <c r="Q12" s="139"/>
      <c r="R12" s="139"/>
      <c r="S12" s="140"/>
      <c r="T12" s="139"/>
      <c r="U12" s="139"/>
      <c r="V12" s="139"/>
    </row>
    <row r="13" spans="1:22" ht="15.75" thickBot="1">
      <c r="A13" s="177" t="s">
        <v>271</v>
      </c>
      <c r="B13" s="167">
        <v>66</v>
      </c>
      <c r="C13" s="146" t="s">
        <v>1</v>
      </c>
      <c r="E13" s="139"/>
      <c r="F13" s="139"/>
      <c r="G13" s="139"/>
      <c r="H13" s="139"/>
      <c r="I13" s="139"/>
      <c r="J13" s="139"/>
      <c r="K13" s="139"/>
      <c r="L13" s="139"/>
      <c r="M13" s="139"/>
      <c r="N13" s="139"/>
      <c r="O13" s="139"/>
      <c r="P13" s="139"/>
      <c r="Q13" s="139"/>
      <c r="R13" s="139"/>
      <c r="S13" s="140"/>
      <c r="T13" s="139"/>
      <c r="U13" s="139"/>
      <c r="V13" s="139"/>
    </row>
    <row r="14" spans="1:22" ht="15.75" thickBot="1">
      <c r="A14" s="147"/>
      <c r="B14" s="148"/>
      <c r="C14" s="138"/>
      <c r="E14" s="139"/>
      <c r="F14" s="139"/>
      <c r="G14" s="139"/>
      <c r="H14" s="139"/>
      <c r="I14" s="139"/>
      <c r="J14" s="139"/>
      <c r="K14" s="139"/>
      <c r="L14" s="139"/>
      <c r="M14" s="139"/>
      <c r="N14" s="139"/>
      <c r="O14" s="139"/>
      <c r="P14" s="139"/>
      <c r="Q14" s="139"/>
      <c r="R14" s="139"/>
      <c r="S14" s="140"/>
      <c r="T14" s="139"/>
      <c r="U14" s="139"/>
      <c r="V14" s="139"/>
    </row>
    <row r="15" spans="1:22" ht="15.75" thickBot="1">
      <c r="A15" s="256" t="s">
        <v>578</v>
      </c>
      <c r="B15" s="257"/>
      <c r="C15" s="258"/>
      <c r="E15" s="139"/>
      <c r="F15" s="139"/>
      <c r="G15" s="139"/>
      <c r="H15" s="139"/>
      <c r="I15" s="139"/>
      <c r="J15" s="139"/>
      <c r="K15" s="139"/>
      <c r="L15" s="139"/>
      <c r="M15" s="139"/>
      <c r="N15" s="139"/>
      <c r="O15" s="139"/>
      <c r="P15" s="139"/>
      <c r="Q15" s="139"/>
      <c r="R15" s="139"/>
      <c r="S15" s="140"/>
      <c r="T15" s="139"/>
      <c r="U15" s="139"/>
      <c r="V15" s="139"/>
    </row>
    <row r="16" spans="1:22">
      <c r="A16" s="171" t="s">
        <v>266</v>
      </c>
      <c r="B16" s="166">
        <v>10</v>
      </c>
      <c r="C16" s="144" t="s">
        <v>1</v>
      </c>
      <c r="E16" s="139"/>
      <c r="F16" s="139"/>
      <c r="G16" s="139"/>
      <c r="H16" s="139"/>
      <c r="I16" s="139"/>
      <c r="J16" s="139"/>
      <c r="K16" s="139"/>
      <c r="L16" s="139"/>
      <c r="M16" s="139"/>
      <c r="N16" s="139"/>
      <c r="O16" s="139"/>
      <c r="P16" s="139"/>
      <c r="Q16" s="139"/>
      <c r="R16" s="139"/>
      <c r="S16" s="140"/>
      <c r="T16" s="139"/>
      <c r="U16" s="139"/>
      <c r="V16" s="139"/>
    </row>
    <row r="17" spans="1:22">
      <c r="A17" s="171" t="s">
        <v>267</v>
      </c>
      <c r="B17" s="166">
        <v>12</v>
      </c>
      <c r="C17" s="144" t="s">
        <v>1</v>
      </c>
      <c r="E17" s="139"/>
      <c r="F17" s="139"/>
      <c r="G17" s="139"/>
      <c r="H17" s="139"/>
      <c r="I17" s="139"/>
      <c r="J17" s="139"/>
      <c r="K17" s="139"/>
      <c r="L17" s="139"/>
      <c r="M17" s="139"/>
      <c r="N17" s="139"/>
      <c r="O17" s="139"/>
      <c r="P17" s="139"/>
      <c r="Q17" s="139"/>
      <c r="R17" s="139"/>
      <c r="S17" s="140"/>
      <c r="T17" s="139"/>
      <c r="U17" s="139"/>
      <c r="V17" s="139"/>
    </row>
    <row r="18" spans="1:22" ht="15.75" thickBot="1">
      <c r="A18" s="177" t="s">
        <v>268</v>
      </c>
      <c r="B18" s="167">
        <v>13</v>
      </c>
      <c r="C18" s="146" t="s">
        <v>1</v>
      </c>
      <c r="F18" s="139"/>
      <c r="G18" s="139"/>
      <c r="H18" s="139"/>
      <c r="I18" s="139"/>
      <c r="J18" s="139"/>
      <c r="K18" s="139"/>
      <c r="L18" s="139"/>
      <c r="M18" s="139"/>
      <c r="N18" s="139"/>
      <c r="O18" s="139"/>
      <c r="P18" s="139"/>
      <c r="Q18" s="139"/>
      <c r="R18" s="139"/>
      <c r="S18" s="140"/>
      <c r="T18" s="139"/>
      <c r="U18" s="139"/>
      <c r="V18" s="139"/>
    </row>
    <row r="19" spans="1:22" ht="15.75" thickBot="1">
      <c r="A19" s="147"/>
      <c r="B19" s="148"/>
      <c r="C19" s="138"/>
      <c r="F19" s="139"/>
      <c r="G19" s="139"/>
      <c r="H19" s="139"/>
      <c r="I19" s="139"/>
      <c r="J19" s="139"/>
      <c r="K19" s="139"/>
      <c r="L19" s="139"/>
      <c r="M19" s="139"/>
      <c r="N19" s="139"/>
      <c r="O19" s="139"/>
      <c r="P19" s="139"/>
      <c r="Q19" s="139"/>
      <c r="R19" s="139"/>
      <c r="S19" s="140"/>
      <c r="T19" s="139"/>
      <c r="U19" s="139"/>
      <c r="V19" s="139"/>
    </row>
    <row r="20" spans="1:22" ht="15.75" thickBot="1">
      <c r="A20" s="256" t="s">
        <v>2</v>
      </c>
      <c r="B20" s="257"/>
      <c r="C20" s="258"/>
      <c r="F20" s="139"/>
      <c r="G20" s="139"/>
      <c r="H20" s="139"/>
      <c r="I20" s="139"/>
      <c r="J20" s="139"/>
      <c r="K20" s="139"/>
      <c r="L20" s="139"/>
      <c r="M20" s="139"/>
      <c r="N20" s="139"/>
      <c r="O20" s="139"/>
      <c r="P20" s="139"/>
      <c r="Q20" s="139"/>
      <c r="R20" s="139"/>
      <c r="S20" s="140"/>
      <c r="T20" s="139"/>
      <c r="U20" s="139"/>
      <c r="V20" s="139"/>
    </row>
    <row r="21" spans="1:22">
      <c r="A21" s="171" t="s">
        <v>265</v>
      </c>
      <c r="B21" s="166">
        <v>103</v>
      </c>
      <c r="C21" s="144" t="s">
        <v>3</v>
      </c>
      <c r="F21" s="139"/>
      <c r="G21" s="139"/>
      <c r="H21" s="139"/>
      <c r="I21" s="139"/>
      <c r="J21" s="139"/>
      <c r="K21" s="139"/>
      <c r="L21" s="139"/>
      <c r="M21" s="139"/>
      <c r="N21" s="139"/>
      <c r="O21" s="139"/>
      <c r="P21" s="139"/>
      <c r="Q21" s="139"/>
      <c r="R21" s="139"/>
      <c r="S21" s="140"/>
      <c r="T21" s="139"/>
      <c r="U21" s="139"/>
      <c r="V21" s="139"/>
    </row>
    <row r="22" spans="1:22" ht="18.75" thickBot="1">
      <c r="A22" s="177" t="s">
        <v>373</v>
      </c>
      <c r="B22" s="154">
        <f>Calculations!B16</f>
        <v>40.291262135922338</v>
      </c>
      <c r="C22" s="146" t="s">
        <v>16</v>
      </c>
      <c r="F22" s="139"/>
      <c r="G22" s="139"/>
      <c r="H22" s="139"/>
      <c r="I22" s="139"/>
      <c r="J22" s="139"/>
      <c r="K22" s="139"/>
      <c r="L22" s="139"/>
      <c r="M22" s="139"/>
      <c r="N22" s="139"/>
      <c r="O22" s="139"/>
      <c r="P22" s="139"/>
      <c r="Q22" s="139"/>
      <c r="R22" s="139"/>
      <c r="S22" s="140"/>
      <c r="T22" s="139"/>
      <c r="U22" s="139"/>
      <c r="V22" s="139"/>
    </row>
    <row r="23" spans="1:22" ht="15.75" thickBot="1">
      <c r="A23" s="147"/>
      <c r="B23" s="138"/>
      <c r="C23" s="138"/>
      <c r="F23" s="139"/>
      <c r="G23" s="139"/>
      <c r="H23" s="139"/>
      <c r="I23" s="139"/>
      <c r="J23" s="139"/>
      <c r="K23" s="139"/>
      <c r="L23" s="139"/>
      <c r="M23" s="139"/>
      <c r="N23" s="139"/>
      <c r="O23" s="139"/>
      <c r="P23" s="139"/>
      <c r="Q23" s="139"/>
      <c r="R23" s="139"/>
      <c r="S23" s="140"/>
      <c r="T23" s="139"/>
      <c r="U23" s="139"/>
      <c r="V23" s="139"/>
    </row>
    <row r="24" spans="1:22" ht="15.75" thickBot="1">
      <c r="A24" s="256" t="s">
        <v>240</v>
      </c>
      <c r="B24" s="257"/>
      <c r="C24" s="258"/>
      <c r="F24" s="139"/>
      <c r="G24" s="139"/>
      <c r="H24" s="139"/>
      <c r="I24" s="139"/>
      <c r="J24" s="139"/>
      <c r="K24" s="139"/>
      <c r="L24" s="139"/>
      <c r="M24" s="139"/>
      <c r="N24" s="139"/>
      <c r="O24" s="139"/>
      <c r="P24" s="139"/>
      <c r="Q24" s="139"/>
      <c r="R24" s="139"/>
      <c r="S24" s="140"/>
      <c r="T24" s="139"/>
      <c r="U24" s="139"/>
      <c r="V24" s="139"/>
    </row>
    <row r="25" spans="1:22">
      <c r="A25" s="171" t="s">
        <v>27</v>
      </c>
      <c r="B25" s="166">
        <v>2</v>
      </c>
      <c r="C25" s="144"/>
      <c r="F25" s="139"/>
      <c r="G25" s="139"/>
      <c r="H25" s="139"/>
      <c r="I25" s="139"/>
      <c r="J25" s="139"/>
      <c r="K25" s="139"/>
      <c r="L25" s="139"/>
      <c r="M25" s="139"/>
      <c r="N25" s="139"/>
      <c r="O25" s="139"/>
      <c r="P25" s="139"/>
      <c r="Q25" s="139"/>
      <c r="R25" s="139"/>
      <c r="S25" s="140"/>
      <c r="T25" s="139"/>
      <c r="U25" s="139"/>
      <c r="V25" s="139"/>
    </row>
    <row r="26" spans="1:22">
      <c r="A26" s="171" t="s">
        <v>589</v>
      </c>
      <c r="B26" s="166">
        <v>12</v>
      </c>
      <c r="C26" s="144" t="s">
        <v>4</v>
      </c>
      <c r="F26" s="139"/>
      <c r="G26" s="139"/>
      <c r="H26" s="139"/>
      <c r="I26" s="139"/>
      <c r="J26" s="139"/>
      <c r="K26" s="139"/>
      <c r="L26" s="139"/>
      <c r="M26" s="139"/>
      <c r="N26" s="139"/>
      <c r="O26" s="139"/>
      <c r="P26" s="139"/>
      <c r="Q26" s="139"/>
      <c r="R26" s="139"/>
      <c r="S26" s="140"/>
      <c r="T26" s="139"/>
      <c r="U26" s="139"/>
      <c r="V26" s="139"/>
    </row>
    <row r="27" spans="1:22">
      <c r="A27" s="171" t="s">
        <v>590</v>
      </c>
      <c r="B27" s="166">
        <v>5</v>
      </c>
      <c r="C27" s="144" t="s">
        <v>4</v>
      </c>
      <c r="F27" s="139"/>
      <c r="G27" s="139"/>
      <c r="H27" s="139"/>
      <c r="I27" s="139"/>
      <c r="J27" s="139"/>
      <c r="K27" s="139"/>
      <c r="L27" s="139"/>
      <c r="M27" s="139"/>
      <c r="N27" s="139"/>
      <c r="O27" s="139"/>
      <c r="P27" s="139"/>
      <c r="Q27" s="139"/>
      <c r="R27" s="139"/>
      <c r="S27" s="140"/>
      <c r="T27" s="139"/>
      <c r="U27" s="139"/>
      <c r="V27" s="139"/>
    </row>
    <row r="28" spans="1:22" ht="18">
      <c r="A28" s="171" t="s">
        <v>374</v>
      </c>
      <c r="B28" s="150">
        <f>Calculations!B30</f>
        <v>8.3333333333333339</v>
      </c>
      <c r="C28" s="144" t="s">
        <v>7</v>
      </c>
      <c r="F28" s="139"/>
      <c r="G28" s="139"/>
      <c r="H28" s="139"/>
      <c r="I28" s="139"/>
      <c r="J28" s="139"/>
      <c r="K28" s="139"/>
      <c r="L28" s="139"/>
      <c r="M28" s="139"/>
      <c r="N28" s="139"/>
      <c r="O28" s="139"/>
      <c r="P28" s="139"/>
      <c r="Q28" s="139"/>
      <c r="R28" s="139"/>
      <c r="S28" s="140"/>
      <c r="T28" s="139"/>
      <c r="U28" s="139"/>
      <c r="V28" s="139"/>
    </row>
    <row r="29" spans="1:22" ht="18">
      <c r="A29" s="171" t="s">
        <v>398</v>
      </c>
      <c r="B29" s="166">
        <v>1</v>
      </c>
      <c r="C29" s="144" t="s">
        <v>7</v>
      </c>
      <c r="F29" s="139"/>
      <c r="G29" s="139"/>
      <c r="H29" s="139"/>
      <c r="I29" s="139"/>
      <c r="J29" s="139"/>
      <c r="K29" s="139"/>
      <c r="L29" s="139"/>
      <c r="M29" s="139"/>
      <c r="N29" s="139"/>
      <c r="O29" s="139"/>
      <c r="P29" s="139"/>
      <c r="Q29" s="139"/>
      <c r="R29" s="139"/>
      <c r="S29" s="140"/>
      <c r="T29" s="139"/>
      <c r="U29" s="139"/>
      <c r="V29" s="139"/>
    </row>
    <row r="30" spans="1:22">
      <c r="A30" s="171" t="s">
        <v>375</v>
      </c>
      <c r="B30" s="138">
        <f>I_Channel</f>
        <v>50</v>
      </c>
      <c r="C30" s="144" t="s">
        <v>4</v>
      </c>
      <c r="F30" s="139"/>
      <c r="G30" s="139"/>
      <c r="H30" s="139"/>
      <c r="I30" s="139"/>
      <c r="J30" s="139"/>
      <c r="K30" s="139"/>
      <c r="L30" s="139"/>
      <c r="M30" s="139"/>
      <c r="N30" s="139"/>
      <c r="O30" s="139"/>
      <c r="P30" s="139"/>
      <c r="Q30" s="139"/>
      <c r="R30" s="139"/>
      <c r="S30" s="140"/>
      <c r="T30" s="139"/>
      <c r="U30" s="139"/>
      <c r="V30" s="139"/>
    </row>
    <row r="31" spans="1:22" ht="15.75" thickBot="1">
      <c r="A31" s="177" t="s">
        <v>577</v>
      </c>
      <c r="B31" s="149">
        <f>Calculations!B34</f>
        <v>100</v>
      </c>
      <c r="C31" s="146" t="s">
        <v>4</v>
      </c>
      <c r="F31" s="139"/>
      <c r="G31" s="139"/>
      <c r="H31" s="139"/>
      <c r="I31" s="139"/>
      <c r="J31" s="139"/>
      <c r="K31" s="139"/>
      <c r="L31" s="139"/>
      <c r="M31" s="139"/>
      <c r="N31" s="139"/>
      <c r="O31" s="139"/>
      <c r="P31" s="139"/>
      <c r="Q31" s="139"/>
      <c r="R31" s="139"/>
      <c r="S31" s="140"/>
      <c r="T31" s="139"/>
      <c r="U31" s="139"/>
      <c r="V31" s="139"/>
    </row>
    <row r="32" spans="1:22" ht="18.75">
      <c r="A32" s="271"/>
      <c r="B32" s="271"/>
      <c r="C32" s="271"/>
      <c r="F32" s="139"/>
      <c r="G32" s="139"/>
      <c r="H32" s="139"/>
      <c r="I32" s="139"/>
      <c r="J32" s="139"/>
      <c r="K32" s="139"/>
      <c r="L32" s="139"/>
      <c r="M32" s="139"/>
      <c r="N32" s="139"/>
      <c r="O32" s="139"/>
      <c r="P32" s="139"/>
      <c r="Q32" s="139"/>
      <c r="R32" s="139"/>
      <c r="S32" s="140"/>
      <c r="T32" s="139"/>
      <c r="U32" s="139"/>
      <c r="V32" s="139"/>
    </row>
    <row r="33" spans="1:22" ht="18.75">
      <c r="A33" s="255" t="s">
        <v>241</v>
      </c>
      <c r="B33" s="255"/>
      <c r="C33" s="255"/>
      <c r="F33" s="139"/>
      <c r="G33" s="139"/>
      <c r="H33" s="139"/>
      <c r="I33" s="139"/>
      <c r="J33" s="139"/>
      <c r="K33" s="139"/>
      <c r="L33" s="139"/>
      <c r="M33" s="139"/>
      <c r="N33" s="139"/>
      <c r="O33" s="139"/>
      <c r="P33" s="139"/>
      <c r="Q33" s="139"/>
      <c r="R33" s="139"/>
      <c r="S33" s="140"/>
      <c r="T33" s="139"/>
      <c r="U33" s="139"/>
      <c r="V33" s="139"/>
    </row>
    <row r="34" spans="1:22" ht="8.1" customHeight="1" thickBot="1">
      <c r="A34" s="151"/>
      <c r="B34" s="151"/>
      <c r="C34" s="151"/>
      <c r="F34" s="139"/>
      <c r="G34" s="139"/>
      <c r="H34" s="139"/>
      <c r="I34" s="139"/>
      <c r="J34" s="139"/>
      <c r="K34" s="139"/>
      <c r="L34" s="139"/>
      <c r="M34" s="139"/>
      <c r="N34" s="139"/>
      <c r="O34" s="139"/>
      <c r="P34" s="139"/>
      <c r="Q34" s="139"/>
      <c r="R34" s="139"/>
      <c r="S34" s="140"/>
      <c r="T34" s="139"/>
      <c r="U34" s="139"/>
      <c r="V34" s="139"/>
    </row>
    <row r="35" spans="1:22" ht="15.75" thickBot="1">
      <c r="A35" s="256" t="s">
        <v>9</v>
      </c>
      <c r="B35" s="257"/>
      <c r="C35" s="258"/>
      <c r="F35" s="139"/>
      <c r="G35" s="139"/>
      <c r="H35" s="139"/>
      <c r="I35" s="139"/>
      <c r="J35" s="139"/>
      <c r="K35" s="139"/>
      <c r="L35" s="139"/>
      <c r="M35" s="139"/>
      <c r="N35" s="139"/>
      <c r="O35" s="139"/>
      <c r="P35" s="139"/>
      <c r="Q35" s="139"/>
      <c r="R35" s="139"/>
      <c r="S35" s="140"/>
      <c r="T35" s="139"/>
      <c r="U35" s="139"/>
      <c r="V35" s="139"/>
    </row>
    <row r="36" spans="1:22">
      <c r="A36" s="171" t="s">
        <v>376</v>
      </c>
      <c r="B36" s="168">
        <v>75</v>
      </c>
      <c r="C36" s="152" t="s">
        <v>26</v>
      </c>
      <c r="F36" s="139"/>
      <c r="G36" s="139"/>
      <c r="H36" s="139"/>
      <c r="I36" s="139"/>
      <c r="J36" s="139"/>
      <c r="K36" s="139"/>
      <c r="L36" s="139"/>
      <c r="M36" s="139"/>
      <c r="N36" s="139"/>
      <c r="O36" s="139"/>
      <c r="P36" s="139"/>
      <c r="Q36" s="139"/>
      <c r="R36" s="139"/>
      <c r="S36" s="140"/>
      <c r="T36" s="139"/>
      <c r="U36" s="139"/>
      <c r="V36" s="139"/>
    </row>
    <row r="37" spans="1:22">
      <c r="A37" s="171" t="s">
        <v>381</v>
      </c>
      <c r="B37" s="155">
        <f>Calculations!B42</f>
        <v>21.18270079435128</v>
      </c>
      <c r="C37" s="144" t="s">
        <v>6</v>
      </c>
      <c r="F37" s="139"/>
      <c r="G37" s="139"/>
      <c r="H37" s="139"/>
      <c r="I37" s="139"/>
      <c r="J37" s="139"/>
      <c r="K37" s="139"/>
      <c r="L37" s="139"/>
      <c r="M37" s="139"/>
      <c r="N37" s="139"/>
      <c r="O37" s="139"/>
      <c r="P37" s="139"/>
      <c r="Q37" s="139"/>
      <c r="R37" s="139"/>
      <c r="S37" s="140"/>
      <c r="T37" s="139"/>
      <c r="U37" s="139"/>
      <c r="V37" s="139"/>
    </row>
    <row r="38" spans="1:22" ht="18">
      <c r="A38" s="171" t="s">
        <v>399</v>
      </c>
      <c r="B38" s="166">
        <v>22</v>
      </c>
      <c r="C38" s="144" t="s">
        <v>6</v>
      </c>
      <c r="E38" s="153"/>
      <c r="F38" s="139"/>
      <c r="G38" s="139"/>
      <c r="H38" s="139"/>
      <c r="I38" s="139"/>
      <c r="J38" s="139"/>
      <c r="K38" s="139"/>
      <c r="L38" s="139"/>
      <c r="M38" s="139"/>
      <c r="N38" s="139"/>
      <c r="O38" s="139"/>
      <c r="P38" s="139"/>
      <c r="Q38" s="139"/>
      <c r="R38" s="139"/>
      <c r="S38" s="140"/>
      <c r="T38" s="139"/>
      <c r="U38" s="139"/>
      <c r="V38" s="139"/>
    </row>
    <row r="39" spans="1:22">
      <c r="A39" s="171" t="s">
        <v>29</v>
      </c>
      <c r="B39" s="166">
        <v>1</v>
      </c>
      <c r="C39" s="144" t="s">
        <v>7</v>
      </c>
      <c r="F39" s="139"/>
      <c r="G39" s="139"/>
      <c r="H39" s="139"/>
      <c r="I39" s="139"/>
      <c r="J39" s="139"/>
      <c r="K39" s="139"/>
      <c r="L39" s="139"/>
      <c r="M39" s="139"/>
      <c r="N39" s="139"/>
      <c r="O39" s="139"/>
      <c r="P39" s="139"/>
      <c r="Q39" s="139"/>
      <c r="R39" s="139"/>
      <c r="S39" s="140"/>
      <c r="T39" s="139"/>
      <c r="U39" s="139"/>
      <c r="V39" s="139"/>
    </row>
    <row r="40" spans="1:22" ht="15.75" thickBot="1">
      <c r="A40" s="177" t="s">
        <v>390</v>
      </c>
      <c r="B40" s="154">
        <f>I_Channel_Peak_No_Ilimit</f>
        <v>8.166412581240472</v>
      </c>
      <c r="C40" s="146" t="s">
        <v>4</v>
      </c>
      <c r="F40" s="139"/>
      <c r="G40" s="139"/>
      <c r="H40" s="139"/>
      <c r="I40" s="139"/>
      <c r="J40" s="139"/>
      <c r="K40" s="139"/>
      <c r="L40" s="139"/>
      <c r="M40" s="139"/>
      <c r="N40" s="139"/>
      <c r="O40" s="139"/>
      <c r="P40" s="139"/>
      <c r="Q40" s="139"/>
      <c r="R40" s="139"/>
      <c r="S40" s="140"/>
      <c r="T40" s="139"/>
      <c r="U40" s="139"/>
      <c r="V40" s="139"/>
    </row>
    <row r="41" spans="1:22">
      <c r="A41" s="143"/>
      <c r="B41" s="155"/>
      <c r="C41" s="138"/>
      <c r="F41" s="139"/>
      <c r="G41" s="139"/>
      <c r="H41" s="139"/>
      <c r="I41" s="139"/>
      <c r="J41" s="139"/>
      <c r="K41" s="139"/>
      <c r="L41" s="139"/>
      <c r="M41" s="139"/>
      <c r="N41" s="139"/>
      <c r="O41" s="139"/>
      <c r="P41" s="139"/>
      <c r="Q41" s="139"/>
      <c r="R41" s="139"/>
      <c r="S41" s="140"/>
      <c r="T41" s="139"/>
      <c r="U41" s="139"/>
      <c r="V41" s="139"/>
    </row>
    <row r="42" spans="1:22" ht="18.75">
      <c r="A42" s="255" t="s">
        <v>460</v>
      </c>
      <c r="B42" s="255"/>
      <c r="C42" s="255"/>
      <c r="F42" s="139"/>
      <c r="G42" s="139"/>
      <c r="H42" s="139"/>
      <c r="I42" s="139"/>
      <c r="J42" s="139"/>
      <c r="K42" s="139"/>
      <c r="L42" s="139"/>
      <c r="M42" s="139"/>
      <c r="N42" s="139"/>
      <c r="O42" s="139"/>
      <c r="P42" s="139"/>
      <c r="Q42" s="139"/>
      <c r="R42" s="139"/>
      <c r="S42" s="140"/>
      <c r="T42" s="139"/>
      <c r="U42" s="139"/>
      <c r="V42" s="139"/>
    </row>
    <row r="43" spans="1:22" ht="8.1" customHeight="1" thickBot="1">
      <c r="A43" s="184"/>
      <c r="B43" s="155"/>
      <c r="C43" s="138"/>
      <c r="F43" s="139"/>
      <c r="G43" s="139"/>
      <c r="H43" s="139"/>
      <c r="I43" s="139"/>
      <c r="J43" s="139"/>
      <c r="K43" s="139"/>
      <c r="L43" s="139"/>
      <c r="M43" s="139"/>
      <c r="N43" s="139"/>
      <c r="O43" s="139"/>
      <c r="P43" s="139"/>
      <c r="Q43" s="139"/>
      <c r="R43" s="139"/>
      <c r="S43" s="140"/>
      <c r="T43" s="139"/>
      <c r="U43" s="139"/>
      <c r="V43" s="139"/>
    </row>
    <row r="44" spans="1:22" ht="15.75" thickBot="1">
      <c r="A44" s="256" t="s">
        <v>244</v>
      </c>
      <c r="B44" s="257"/>
      <c r="C44" s="258"/>
      <c r="F44" s="139"/>
      <c r="G44" s="139"/>
      <c r="H44" s="139"/>
      <c r="I44" s="139"/>
      <c r="J44" s="139"/>
      <c r="K44" s="139"/>
      <c r="L44" s="139"/>
      <c r="M44" s="139"/>
      <c r="N44" s="139"/>
      <c r="O44" s="139"/>
      <c r="P44" s="139"/>
      <c r="Q44" s="139"/>
      <c r="R44" s="139"/>
      <c r="S44" s="140"/>
      <c r="T44" s="139"/>
      <c r="U44" s="139"/>
      <c r="V44" s="139"/>
    </row>
    <row r="45" spans="1:22">
      <c r="A45" s="185" t="s">
        <v>391</v>
      </c>
      <c r="B45" s="203">
        <v>5</v>
      </c>
      <c r="C45" s="204" t="s">
        <v>26</v>
      </c>
      <c r="F45" s="139"/>
      <c r="G45" s="139"/>
      <c r="H45" s="139"/>
      <c r="I45" s="139"/>
      <c r="J45" s="139"/>
      <c r="K45" s="139"/>
      <c r="L45" s="139"/>
      <c r="M45" s="139"/>
      <c r="N45" s="139"/>
      <c r="O45" s="139"/>
      <c r="P45" s="139"/>
      <c r="Q45" s="139"/>
      <c r="R45" s="139"/>
      <c r="S45" s="140"/>
      <c r="T45" s="139"/>
      <c r="U45" s="139"/>
      <c r="V45" s="139"/>
    </row>
    <row r="46" spans="1:22">
      <c r="A46" s="171" t="s">
        <v>393</v>
      </c>
      <c r="B46" s="155">
        <f>I_Channel_Peak_Select</f>
        <v>8.5747332103024956</v>
      </c>
      <c r="C46" s="144" t="s">
        <v>4</v>
      </c>
      <c r="F46" s="139"/>
      <c r="G46" s="139"/>
      <c r="H46" s="139"/>
      <c r="I46" s="139"/>
      <c r="J46" s="139"/>
      <c r="K46" s="139"/>
      <c r="L46" s="139"/>
      <c r="M46" s="139"/>
      <c r="N46" s="139"/>
      <c r="O46" s="139"/>
      <c r="P46" s="139"/>
      <c r="Q46" s="139"/>
      <c r="R46" s="139"/>
      <c r="S46" s="140"/>
      <c r="T46" s="139"/>
      <c r="U46" s="139"/>
      <c r="V46" s="139"/>
    </row>
    <row r="47" spans="1:22">
      <c r="A47" s="171" t="s">
        <v>392</v>
      </c>
      <c r="B47" s="168">
        <v>44</v>
      </c>
      <c r="C47" s="144" t="s">
        <v>4</v>
      </c>
      <c r="F47" s="139"/>
      <c r="G47" s="139"/>
      <c r="H47" s="139"/>
      <c r="I47" s="139"/>
      <c r="J47" s="139"/>
      <c r="K47" s="139"/>
      <c r="L47" s="139"/>
      <c r="M47" s="139"/>
      <c r="N47" s="139"/>
      <c r="O47" s="139"/>
      <c r="P47" s="139"/>
      <c r="Q47" s="139"/>
      <c r="R47" s="139"/>
      <c r="S47" s="140"/>
      <c r="T47" s="139"/>
      <c r="U47" s="139"/>
      <c r="V47" s="139"/>
    </row>
    <row r="48" spans="1:22" ht="18">
      <c r="A48" s="171" t="s">
        <v>536</v>
      </c>
      <c r="B48" s="155">
        <f>Calculations!B79</f>
        <v>0.88</v>
      </c>
      <c r="C48" s="144" t="s">
        <v>1</v>
      </c>
      <c r="F48" s="139"/>
      <c r="G48" s="139"/>
      <c r="H48" s="139"/>
      <c r="I48" s="139"/>
      <c r="J48" s="139"/>
      <c r="K48" s="139"/>
      <c r="L48" s="139"/>
      <c r="M48" s="139"/>
      <c r="N48" s="139"/>
      <c r="O48" s="139"/>
      <c r="P48" s="139"/>
      <c r="Q48" s="139"/>
      <c r="R48" s="139"/>
      <c r="S48" s="140"/>
      <c r="T48" s="139"/>
      <c r="U48" s="139"/>
      <c r="V48" s="139"/>
    </row>
    <row r="49" spans="1:22">
      <c r="A49" s="143" t="s">
        <v>534</v>
      </c>
      <c r="B49" s="166">
        <v>3.5</v>
      </c>
      <c r="C49" s="205" t="s">
        <v>1</v>
      </c>
      <c r="F49" s="139"/>
      <c r="G49" s="139"/>
      <c r="H49" s="139"/>
      <c r="I49" s="139"/>
      <c r="J49" s="139"/>
      <c r="K49" s="139"/>
      <c r="L49" s="139"/>
      <c r="M49" s="139"/>
      <c r="N49" s="139"/>
      <c r="O49" s="139"/>
      <c r="P49" s="139"/>
      <c r="Q49" s="139"/>
      <c r="R49" s="139"/>
      <c r="S49" s="140"/>
      <c r="T49" s="139"/>
      <c r="U49" s="139"/>
      <c r="V49" s="139"/>
    </row>
    <row r="50" spans="1:22" ht="18">
      <c r="A50" s="143" t="s">
        <v>537</v>
      </c>
      <c r="B50" s="138">
        <f>Calculations!B81</f>
        <v>8.7999999999999989</v>
      </c>
      <c r="C50" s="205" t="s">
        <v>95</v>
      </c>
      <c r="F50" s="139"/>
      <c r="G50" s="139"/>
      <c r="H50" s="139"/>
      <c r="I50" s="139"/>
      <c r="J50" s="139"/>
      <c r="K50" s="139"/>
      <c r="L50" s="139"/>
      <c r="M50" s="139"/>
      <c r="N50" s="139"/>
      <c r="O50" s="139"/>
      <c r="P50" s="139"/>
      <c r="Q50" s="139"/>
      <c r="R50" s="139"/>
      <c r="S50" s="140"/>
      <c r="T50" s="139"/>
      <c r="U50" s="139"/>
      <c r="V50" s="139"/>
    </row>
    <row r="51" spans="1:22" ht="18">
      <c r="A51" s="143" t="s">
        <v>538</v>
      </c>
      <c r="B51" s="166">
        <v>2.2000000000000002</v>
      </c>
      <c r="C51" s="205" t="s">
        <v>95</v>
      </c>
      <c r="F51" s="139"/>
      <c r="G51" s="139"/>
      <c r="H51" s="139"/>
      <c r="I51" s="139"/>
      <c r="J51" s="139"/>
      <c r="K51" s="139"/>
      <c r="L51" s="139"/>
      <c r="M51" s="139"/>
      <c r="N51" s="139"/>
      <c r="O51" s="139"/>
      <c r="P51" s="139"/>
      <c r="Q51" s="139"/>
      <c r="R51" s="139"/>
      <c r="S51" s="140"/>
      <c r="T51" s="139"/>
      <c r="U51" s="139"/>
      <c r="V51" s="139"/>
    </row>
    <row r="52" spans="1:22" ht="18">
      <c r="A52" s="143" t="s">
        <v>539</v>
      </c>
      <c r="B52" s="150">
        <f>Calculations!B83</f>
        <v>6.5500000000000007</v>
      </c>
      <c r="C52" s="205" t="s">
        <v>95</v>
      </c>
      <c r="F52" s="139"/>
      <c r="G52" s="139"/>
      <c r="H52" s="139"/>
      <c r="I52" s="139"/>
      <c r="J52" s="139"/>
      <c r="K52" s="139"/>
      <c r="L52" s="139"/>
      <c r="M52" s="139"/>
      <c r="N52" s="139"/>
      <c r="O52" s="139"/>
      <c r="P52" s="139"/>
      <c r="Q52" s="139"/>
      <c r="R52" s="139"/>
      <c r="S52" s="140"/>
      <c r="T52" s="139"/>
      <c r="U52" s="139"/>
      <c r="V52" s="139"/>
    </row>
    <row r="53" spans="1:22" ht="18">
      <c r="A53" s="143" t="s">
        <v>540</v>
      </c>
      <c r="B53" s="166">
        <v>8</v>
      </c>
      <c r="C53" s="205" t="s">
        <v>95</v>
      </c>
      <c r="F53" s="139"/>
      <c r="G53" s="139"/>
      <c r="H53" s="139"/>
      <c r="I53" s="139"/>
      <c r="J53" s="139"/>
      <c r="K53" s="139"/>
      <c r="L53" s="139"/>
      <c r="M53" s="139"/>
      <c r="N53" s="139"/>
      <c r="O53" s="139"/>
      <c r="P53" s="139"/>
      <c r="Q53" s="139"/>
      <c r="R53" s="139"/>
      <c r="S53" s="140"/>
      <c r="T53" s="139"/>
      <c r="U53" s="139"/>
      <c r="V53" s="139"/>
    </row>
    <row r="54" spans="1:22" ht="18">
      <c r="A54" s="143" t="s">
        <v>551</v>
      </c>
      <c r="B54" s="150">
        <f>Calculations!B85</f>
        <v>0.75490196078431393</v>
      </c>
      <c r="C54" s="205" t="s">
        <v>1</v>
      </c>
      <c r="F54" s="139"/>
      <c r="G54" s="139"/>
      <c r="H54" s="139"/>
      <c r="I54" s="139"/>
      <c r="J54" s="139"/>
      <c r="K54" s="139"/>
      <c r="L54" s="139"/>
      <c r="M54" s="139"/>
      <c r="N54" s="139"/>
      <c r="O54" s="139"/>
      <c r="P54" s="139"/>
      <c r="Q54" s="139"/>
      <c r="R54" s="139"/>
      <c r="S54" s="140"/>
      <c r="T54" s="139"/>
      <c r="U54" s="139"/>
      <c r="V54" s="139"/>
    </row>
    <row r="55" spans="1:22" ht="15.75" thickBot="1">
      <c r="A55" s="207" t="s">
        <v>459</v>
      </c>
      <c r="B55" s="154">
        <f>Calculations!B86</f>
        <v>37.745098039215698</v>
      </c>
      <c r="C55" s="206" t="s">
        <v>4</v>
      </c>
      <c r="F55" s="139"/>
      <c r="G55" s="139"/>
      <c r="H55" s="139"/>
      <c r="I55" s="139"/>
      <c r="J55" s="139"/>
      <c r="K55" s="139"/>
      <c r="L55" s="139"/>
      <c r="M55" s="139"/>
      <c r="N55" s="139"/>
      <c r="O55" s="139"/>
      <c r="P55" s="139"/>
      <c r="Q55" s="139"/>
      <c r="R55" s="139"/>
      <c r="S55" s="140"/>
      <c r="T55" s="139"/>
      <c r="U55" s="139"/>
      <c r="V55" s="139"/>
    </row>
    <row r="56" spans="1:22">
      <c r="A56" s="147"/>
      <c r="B56" s="155"/>
      <c r="C56" s="138"/>
      <c r="F56" s="139"/>
      <c r="G56" s="139"/>
      <c r="H56" s="139"/>
      <c r="I56" s="139"/>
      <c r="J56" s="139"/>
      <c r="K56" s="139"/>
      <c r="L56" s="139"/>
      <c r="M56" s="139"/>
      <c r="N56" s="139"/>
      <c r="O56" s="139"/>
      <c r="P56" s="139"/>
      <c r="Q56" s="139"/>
      <c r="R56" s="139"/>
      <c r="S56" s="140"/>
      <c r="T56" s="139"/>
      <c r="U56" s="139"/>
      <c r="V56" s="139"/>
    </row>
    <row r="57" spans="1:22" ht="18.75">
      <c r="A57" s="255" t="s">
        <v>246</v>
      </c>
      <c r="B57" s="255"/>
      <c r="C57" s="255"/>
      <c r="F57" s="139"/>
      <c r="G57" s="139"/>
      <c r="H57" s="139"/>
      <c r="I57" s="139"/>
      <c r="J57" s="139"/>
      <c r="K57" s="139"/>
      <c r="L57" s="139"/>
      <c r="M57" s="139"/>
      <c r="N57" s="139"/>
      <c r="O57" s="139"/>
      <c r="P57" s="139"/>
      <c r="Q57" s="139"/>
      <c r="R57" s="139"/>
      <c r="S57" s="140"/>
      <c r="T57" s="139"/>
      <c r="U57" s="139"/>
      <c r="V57" s="139"/>
    </row>
    <row r="58" spans="1:22" ht="8.1" customHeight="1" thickBot="1">
      <c r="A58" s="147"/>
      <c r="B58" s="155"/>
      <c r="C58" s="138"/>
      <c r="F58" s="139"/>
      <c r="G58" s="139"/>
      <c r="H58" s="139"/>
      <c r="I58" s="139"/>
      <c r="J58" s="139"/>
      <c r="K58" s="139"/>
      <c r="L58" s="139"/>
      <c r="M58" s="139"/>
      <c r="N58" s="139"/>
      <c r="O58" s="139"/>
      <c r="P58" s="139"/>
      <c r="Q58" s="139"/>
      <c r="R58" s="139"/>
      <c r="S58" s="140"/>
      <c r="T58" s="139"/>
      <c r="U58" s="139"/>
      <c r="V58" s="139"/>
    </row>
    <row r="59" spans="1:22" ht="15.75" thickBot="1">
      <c r="A59" s="256" t="s">
        <v>273</v>
      </c>
      <c r="B59" s="257"/>
      <c r="C59" s="258"/>
      <c r="F59" s="139"/>
      <c r="G59" s="139"/>
      <c r="H59" s="139"/>
      <c r="I59" s="139"/>
      <c r="J59" s="139"/>
      <c r="K59" s="139"/>
      <c r="L59" s="139"/>
      <c r="M59" s="139"/>
      <c r="N59" s="139"/>
      <c r="O59" s="139"/>
      <c r="P59" s="139"/>
      <c r="Q59" s="139"/>
      <c r="R59" s="139"/>
      <c r="S59" s="140"/>
      <c r="T59" s="139"/>
      <c r="U59" s="139"/>
      <c r="V59" s="139"/>
    </row>
    <row r="60" spans="1:22" ht="18">
      <c r="A60" s="171" t="s">
        <v>400</v>
      </c>
      <c r="B60" s="166">
        <v>800</v>
      </c>
      <c r="C60" s="156" t="s">
        <v>32</v>
      </c>
      <c r="F60" s="139"/>
      <c r="G60" s="139"/>
      <c r="H60" s="139"/>
      <c r="I60" s="139"/>
      <c r="J60" s="139"/>
      <c r="K60" s="139"/>
      <c r="L60" s="139"/>
      <c r="M60" s="139"/>
      <c r="N60" s="139"/>
      <c r="O60" s="139"/>
      <c r="P60" s="139"/>
      <c r="Q60" s="139"/>
      <c r="R60" s="139"/>
      <c r="S60" s="140"/>
      <c r="T60" s="139"/>
      <c r="U60" s="139"/>
      <c r="V60" s="139"/>
    </row>
    <row r="61" spans="1:22" ht="15.75" thickBot="1">
      <c r="A61" s="177" t="s">
        <v>275</v>
      </c>
      <c r="B61" s="167">
        <v>10</v>
      </c>
      <c r="C61" s="146" t="s">
        <v>7</v>
      </c>
      <c r="F61" s="139"/>
      <c r="G61" s="139"/>
      <c r="H61" s="139"/>
      <c r="I61" s="139"/>
      <c r="J61" s="139"/>
      <c r="K61" s="139"/>
      <c r="L61" s="139"/>
      <c r="M61" s="139"/>
      <c r="N61" s="139"/>
      <c r="O61" s="139"/>
      <c r="P61" s="139"/>
      <c r="Q61" s="139"/>
      <c r="R61" s="139"/>
      <c r="S61" s="140"/>
      <c r="T61" s="139"/>
      <c r="U61" s="139"/>
      <c r="V61" s="139"/>
    </row>
    <row r="62" spans="1:22" ht="15.75" thickBot="1">
      <c r="A62" s="256" t="s">
        <v>274</v>
      </c>
      <c r="B62" s="257"/>
      <c r="C62" s="258"/>
      <c r="F62" s="139"/>
      <c r="G62" s="139"/>
      <c r="H62" s="139"/>
      <c r="I62" s="139"/>
      <c r="J62" s="139"/>
      <c r="K62" s="139"/>
      <c r="L62" s="139"/>
      <c r="M62" s="139"/>
      <c r="N62" s="139"/>
      <c r="O62" s="139"/>
      <c r="P62" s="139"/>
      <c r="Q62" s="139"/>
      <c r="R62" s="139"/>
      <c r="S62" s="140"/>
      <c r="T62" s="139"/>
      <c r="U62" s="139"/>
      <c r="V62" s="139"/>
    </row>
    <row r="63" spans="1:22" ht="18">
      <c r="A63" s="171" t="s">
        <v>401</v>
      </c>
      <c r="B63" s="166">
        <v>600</v>
      </c>
      <c r="C63" s="156" t="s">
        <v>32</v>
      </c>
      <c r="F63" s="139"/>
      <c r="G63" s="139"/>
      <c r="H63" s="139"/>
      <c r="I63" s="139"/>
      <c r="J63" s="139"/>
      <c r="K63" s="139"/>
      <c r="L63" s="139"/>
      <c r="M63" s="139"/>
      <c r="N63" s="139"/>
      <c r="O63" s="139"/>
      <c r="P63" s="139"/>
      <c r="Q63" s="139"/>
      <c r="R63" s="139"/>
      <c r="S63" s="140"/>
      <c r="T63" s="139"/>
      <c r="U63" s="139"/>
      <c r="V63" s="139"/>
    </row>
    <row r="64" spans="1:22" ht="15.75" thickBot="1">
      <c r="A64" s="177" t="s">
        <v>276</v>
      </c>
      <c r="B64" s="167">
        <v>10</v>
      </c>
      <c r="C64" s="146" t="s">
        <v>7</v>
      </c>
      <c r="F64" s="139"/>
      <c r="G64" s="139"/>
      <c r="H64" s="139"/>
      <c r="I64" s="139"/>
      <c r="J64" s="139"/>
      <c r="K64" s="139"/>
      <c r="L64" s="139"/>
      <c r="M64" s="139"/>
      <c r="N64" s="139"/>
      <c r="O64" s="139"/>
      <c r="P64" s="139"/>
      <c r="Q64" s="139"/>
      <c r="R64" s="139"/>
      <c r="S64" s="140"/>
      <c r="T64" s="139"/>
      <c r="U64" s="139"/>
      <c r="V64" s="139"/>
    </row>
    <row r="65" spans="1:22">
      <c r="A65" s="147"/>
      <c r="B65" s="138"/>
      <c r="C65" s="138"/>
      <c r="F65" s="139"/>
      <c r="G65" s="139"/>
      <c r="H65" s="139"/>
      <c r="I65" s="139"/>
      <c r="J65" s="139"/>
      <c r="K65" s="139"/>
      <c r="L65" s="139"/>
      <c r="M65" s="139"/>
      <c r="N65" s="139"/>
      <c r="O65" s="139"/>
      <c r="P65" s="139"/>
      <c r="Q65" s="139"/>
      <c r="R65" s="139"/>
      <c r="S65" s="140"/>
      <c r="T65" s="139"/>
      <c r="U65" s="139"/>
      <c r="V65" s="139"/>
    </row>
    <row r="66" spans="1:22" ht="18.75">
      <c r="A66" s="255" t="s">
        <v>252</v>
      </c>
      <c r="B66" s="255"/>
      <c r="C66" s="255"/>
      <c r="F66" s="139"/>
      <c r="G66" s="139"/>
      <c r="H66" s="139"/>
      <c r="I66" s="139"/>
      <c r="J66" s="139"/>
      <c r="K66" s="139"/>
      <c r="L66" s="139"/>
      <c r="M66" s="139"/>
      <c r="N66" s="139"/>
      <c r="O66" s="139"/>
      <c r="P66" s="139"/>
      <c r="Q66" s="139"/>
      <c r="R66" s="139"/>
      <c r="S66" s="140"/>
      <c r="T66" s="139"/>
      <c r="U66" s="139"/>
      <c r="V66" s="139"/>
    </row>
    <row r="67" spans="1:22" ht="8.1" customHeight="1" thickBot="1">
      <c r="A67" s="147"/>
      <c r="B67" s="138"/>
      <c r="C67" s="138"/>
      <c r="F67" s="139"/>
      <c r="G67" s="139"/>
      <c r="H67" s="139"/>
      <c r="I67" s="139"/>
      <c r="J67" s="139"/>
      <c r="K67" s="139"/>
      <c r="L67" s="139"/>
      <c r="M67" s="139"/>
      <c r="N67" s="139"/>
      <c r="O67" s="139"/>
      <c r="P67" s="139"/>
      <c r="Q67" s="139"/>
      <c r="R67" s="139"/>
      <c r="S67" s="140"/>
      <c r="T67" s="139"/>
      <c r="U67" s="139"/>
      <c r="V67" s="139"/>
    </row>
    <row r="68" spans="1:22" ht="15.75" thickBot="1">
      <c r="A68" s="219" t="s">
        <v>480</v>
      </c>
      <c r="B68" s="264" t="s">
        <v>476</v>
      </c>
      <c r="C68" s="265"/>
      <c r="F68" s="139"/>
      <c r="G68" s="139"/>
      <c r="H68" s="139"/>
      <c r="I68" s="139"/>
      <c r="J68" s="139"/>
      <c r="K68" s="139"/>
      <c r="L68" s="139"/>
      <c r="M68" s="139"/>
      <c r="N68" s="139"/>
      <c r="O68" s="139"/>
      <c r="P68" s="139"/>
      <c r="Q68" s="139"/>
      <c r="R68" s="139"/>
      <c r="S68" s="140"/>
      <c r="T68" s="139"/>
      <c r="U68" s="139"/>
      <c r="V68" s="139"/>
    </row>
    <row r="69" spans="1:22" ht="15.75" thickBot="1">
      <c r="A69" s="261" t="s">
        <v>462</v>
      </c>
      <c r="B69" s="262"/>
      <c r="C69" s="263"/>
      <c r="F69" s="139"/>
      <c r="G69" s="139"/>
      <c r="H69" s="139"/>
      <c r="I69" s="139"/>
      <c r="J69" s="139"/>
      <c r="K69" s="139"/>
      <c r="L69" s="139"/>
      <c r="M69" s="139"/>
      <c r="N69" s="139"/>
      <c r="O69" s="139"/>
      <c r="P69" s="139"/>
      <c r="Q69" s="139"/>
      <c r="R69" s="139"/>
      <c r="S69" s="140"/>
      <c r="T69" s="139"/>
      <c r="U69" s="139"/>
      <c r="V69" s="139"/>
    </row>
    <row r="70" spans="1:22">
      <c r="A70" s="208" t="s">
        <v>463</v>
      </c>
      <c r="B70" s="169">
        <v>2</v>
      </c>
      <c r="C70" s="157" t="s">
        <v>103</v>
      </c>
      <c r="F70" s="139"/>
      <c r="G70" s="139"/>
      <c r="H70" s="139"/>
      <c r="I70" s="139"/>
      <c r="J70" s="139"/>
      <c r="K70" s="139"/>
      <c r="L70" s="139"/>
      <c r="M70" s="139"/>
      <c r="N70" s="139"/>
      <c r="O70" s="139"/>
      <c r="P70" s="139"/>
      <c r="Q70" s="139"/>
      <c r="R70" s="139"/>
      <c r="S70" s="140"/>
      <c r="T70" s="139"/>
      <c r="U70" s="139"/>
      <c r="V70" s="139"/>
    </row>
    <row r="71" spans="1:22" ht="18">
      <c r="A71" s="171" t="s">
        <v>532</v>
      </c>
      <c r="B71" s="166">
        <v>1.75</v>
      </c>
      <c r="C71" s="144" t="s">
        <v>1</v>
      </c>
      <c r="F71" s="139"/>
      <c r="G71" s="139"/>
      <c r="H71" s="139"/>
      <c r="I71" s="139"/>
      <c r="J71" s="139"/>
      <c r="K71" s="139"/>
      <c r="L71" s="139"/>
      <c r="M71" s="139"/>
      <c r="N71" s="139"/>
      <c r="O71" s="139"/>
      <c r="P71" s="139"/>
      <c r="Q71" s="139"/>
      <c r="R71" s="139"/>
      <c r="S71" s="140"/>
      <c r="T71" s="139"/>
      <c r="U71" s="139"/>
      <c r="V71" s="139"/>
    </row>
    <row r="72" spans="1:22">
      <c r="A72" s="143" t="s">
        <v>533</v>
      </c>
      <c r="B72" s="166">
        <v>3.5</v>
      </c>
      <c r="C72" s="205" t="s">
        <v>1</v>
      </c>
      <c r="F72" s="139"/>
      <c r="G72" s="139"/>
      <c r="H72" s="139"/>
      <c r="I72" s="139"/>
      <c r="J72" s="139"/>
      <c r="K72" s="139"/>
      <c r="L72" s="139"/>
      <c r="M72" s="139"/>
      <c r="N72" s="139"/>
      <c r="O72" s="139"/>
      <c r="P72" s="139"/>
      <c r="Q72" s="139"/>
      <c r="R72" s="139"/>
      <c r="S72" s="140"/>
      <c r="T72" s="139"/>
      <c r="U72" s="139"/>
      <c r="V72" s="139"/>
    </row>
    <row r="73" spans="1:22" ht="18.75" thickBot="1">
      <c r="A73" s="143" t="s">
        <v>541</v>
      </c>
      <c r="B73" s="138">
        <f>Calculations!B94</f>
        <v>17.5</v>
      </c>
      <c r="C73" s="205" t="s">
        <v>95</v>
      </c>
      <c r="F73" s="139"/>
      <c r="G73" s="139"/>
      <c r="H73" s="139"/>
      <c r="I73" s="139"/>
      <c r="J73" s="139"/>
      <c r="K73" s="139"/>
      <c r="L73" s="139"/>
      <c r="M73" s="139"/>
      <c r="N73" s="139"/>
      <c r="O73" s="139"/>
      <c r="P73" s="139"/>
      <c r="Q73" s="139"/>
      <c r="R73" s="139"/>
      <c r="S73" s="140"/>
      <c r="T73" s="139"/>
      <c r="U73" s="139"/>
      <c r="V73" s="139"/>
    </row>
    <row r="74" spans="1:22" ht="18.75" thickBot="1">
      <c r="A74" s="143" t="s">
        <v>542</v>
      </c>
      <c r="B74" s="166">
        <v>22</v>
      </c>
      <c r="C74" s="205" t="s">
        <v>95</v>
      </c>
      <c r="P74" s="253" t="s">
        <v>289</v>
      </c>
      <c r="Q74" s="254"/>
    </row>
    <row r="75" spans="1:22" ht="18">
      <c r="A75" s="143" t="s">
        <v>544</v>
      </c>
      <c r="B75" s="138">
        <f>Calculations!B96</f>
        <v>22</v>
      </c>
      <c r="C75" s="205" t="s">
        <v>95</v>
      </c>
    </row>
    <row r="76" spans="1:22" ht="18">
      <c r="A76" s="143" t="s">
        <v>543</v>
      </c>
      <c r="B76" s="166">
        <v>22</v>
      </c>
      <c r="C76" s="205" t="s">
        <v>95</v>
      </c>
    </row>
    <row r="77" spans="1:22" ht="18">
      <c r="A77" s="143" t="s">
        <v>549</v>
      </c>
      <c r="B77" s="138">
        <f>Calculations!B98</f>
        <v>1.75</v>
      </c>
      <c r="C77" s="205" t="s">
        <v>1</v>
      </c>
    </row>
    <row r="78" spans="1:22" ht="18">
      <c r="A78" s="143" t="s">
        <v>545</v>
      </c>
      <c r="B78" s="237">
        <f>Calculations!B99</f>
        <v>9.0909090909090912E-2</v>
      </c>
      <c r="C78" s="144" t="s">
        <v>32</v>
      </c>
    </row>
    <row r="79" spans="1:22" ht="18">
      <c r="A79" s="143" t="s">
        <v>546</v>
      </c>
      <c r="B79" s="166">
        <v>0.1</v>
      </c>
      <c r="C79" s="144" t="s">
        <v>32</v>
      </c>
    </row>
    <row r="80" spans="1:22" ht="15.75" thickBot="1">
      <c r="A80" s="145" t="s">
        <v>550</v>
      </c>
      <c r="B80" s="238">
        <f>Calculations!B101</f>
        <v>2.2000000000000002</v>
      </c>
      <c r="C80" s="146" t="s">
        <v>103</v>
      </c>
      <c r="E80"/>
    </row>
    <row r="81" spans="1:22" ht="15.75" thickBot="1">
      <c r="A81" s="256" t="s">
        <v>464</v>
      </c>
      <c r="B81" s="257"/>
      <c r="C81" s="258"/>
    </row>
    <row r="82" spans="1:22">
      <c r="A82" s="143" t="s">
        <v>547</v>
      </c>
      <c r="B82" s="166">
        <v>1</v>
      </c>
      <c r="C82" s="144" t="s">
        <v>103</v>
      </c>
    </row>
    <row r="83" spans="1:22" ht="18">
      <c r="A83" s="143" t="s">
        <v>479</v>
      </c>
      <c r="B83" s="150">
        <f>Calculations!B106</f>
        <v>0.1</v>
      </c>
      <c r="C83" s="144" t="s">
        <v>40</v>
      </c>
    </row>
    <row r="84" spans="1:22" ht="18">
      <c r="A84" s="143" t="s">
        <v>474</v>
      </c>
      <c r="B84" s="166">
        <v>0.1</v>
      </c>
      <c r="C84" s="144" t="s">
        <v>40</v>
      </c>
    </row>
    <row r="85" spans="1:22" ht="15.75" thickBot="1">
      <c r="A85" s="145" t="s">
        <v>548</v>
      </c>
      <c r="B85" s="238">
        <f>Calculations!B108</f>
        <v>3.2400000000000011E-3</v>
      </c>
      <c r="C85" s="146" t="s">
        <v>103</v>
      </c>
    </row>
    <row r="86" spans="1:22">
      <c r="A86" s="147"/>
      <c r="B86" s="138"/>
      <c r="C86" s="138"/>
    </row>
    <row r="87" spans="1:22" ht="18.75">
      <c r="A87" s="255" t="s">
        <v>349</v>
      </c>
      <c r="B87" s="255"/>
      <c r="C87" s="255"/>
    </row>
    <row r="88" spans="1:22" ht="8.1" customHeight="1" thickBot="1">
      <c r="E88" s="139"/>
      <c r="F88" s="139"/>
      <c r="G88" s="139"/>
      <c r="H88" s="139"/>
      <c r="I88" s="139"/>
      <c r="J88" s="139"/>
      <c r="K88" s="139"/>
      <c r="L88" s="139"/>
      <c r="M88" s="139"/>
      <c r="N88" s="139"/>
      <c r="O88" s="139"/>
      <c r="P88" s="139"/>
      <c r="Q88" s="139"/>
      <c r="R88" s="139"/>
      <c r="S88" s="140"/>
    </row>
    <row r="89" spans="1:22" ht="15.75" thickBot="1">
      <c r="A89" s="256" t="s">
        <v>102</v>
      </c>
      <c r="B89" s="257"/>
      <c r="C89" s="258"/>
      <c r="E89" s="139"/>
      <c r="F89" s="139"/>
      <c r="G89" s="139"/>
      <c r="H89" s="139"/>
      <c r="I89" s="139"/>
      <c r="J89" s="139"/>
      <c r="K89" s="139"/>
      <c r="L89" s="139"/>
      <c r="M89" s="139"/>
      <c r="N89" s="139"/>
      <c r="O89" s="139"/>
      <c r="P89" s="139"/>
      <c r="Q89" s="139"/>
      <c r="R89" s="139"/>
      <c r="S89" s="140"/>
    </row>
    <row r="90" spans="1:22">
      <c r="A90" s="143" t="s">
        <v>106</v>
      </c>
      <c r="B90" s="259" t="s">
        <v>147</v>
      </c>
      <c r="C90" s="260"/>
      <c r="E90" s="139"/>
      <c r="F90" s="250" t="s">
        <v>432</v>
      </c>
      <c r="G90" s="250"/>
      <c r="H90" s="250"/>
      <c r="I90" s="139"/>
      <c r="J90" s="139"/>
      <c r="K90" s="250" t="s">
        <v>433</v>
      </c>
      <c r="L90" s="250"/>
      <c r="M90" s="250"/>
      <c r="N90" s="139"/>
      <c r="O90" s="139"/>
      <c r="P90" s="139"/>
      <c r="Q90" s="250" t="s">
        <v>434</v>
      </c>
      <c r="R90" s="250"/>
      <c r="S90" s="140"/>
      <c r="V90" s="159"/>
    </row>
    <row r="91" spans="1:22">
      <c r="A91" s="143" t="s">
        <v>262</v>
      </c>
      <c r="B91" s="166">
        <v>7.5</v>
      </c>
      <c r="C91" s="144" t="s">
        <v>1</v>
      </c>
      <c r="E91" s="139"/>
      <c r="F91" s="139"/>
      <c r="G91" s="139"/>
      <c r="H91" s="139"/>
      <c r="I91" s="139"/>
      <c r="J91" s="139"/>
      <c r="K91" s="139"/>
      <c r="L91" s="139"/>
      <c r="M91" s="139"/>
      <c r="N91" s="139"/>
      <c r="O91" s="139"/>
      <c r="P91" s="139"/>
      <c r="Q91" s="139"/>
      <c r="R91" s="139"/>
      <c r="S91" s="140"/>
      <c r="V91" s="159"/>
    </row>
    <row r="92" spans="1:22" ht="18">
      <c r="A92" s="143" t="s">
        <v>254</v>
      </c>
      <c r="B92" s="166">
        <v>47</v>
      </c>
      <c r="C92" s="144" t="s">
        <v>95</v>
      </c>
      <c r="E92" s="139"/>
      <c r="F92" s="139"/>
      <c r="G92" s="139"/>
      <c r="H92" s="139"/>
      <c r="I92" s="139"/>
      <c r="J92" s="139"/>
      <c r="K92" s="139"/>
      <c r="L92" s="139"/>
      <c r="M92" s="139"/>
      <c r="N92" s="139"/>
      <c r="O92" s="139"/>
      <c r="P92" s="139"/>
      <c r="Q92" s="139"/>
      <c r="R92" s="139"/>
      <c r="S92" s="140"/>
      <c r="V92" s="159"/>
    </row>
    <row r="93" spans="1:22" ht="18">
      <c r="A93" s="143" t="s">
        <v>350</v>
      </c>
      <c r="B93" s="161">
        <f>Calculations!B118</f>
        <v>94</v>
      </c>
      <c r="C93" s="144" t="s">
        <v>95</v>
      </c>
      <c r="E93" s="139"/>
      <c r="F93" s="139"/>
      <c r="G93" s="139"/>
      <c r="H93" s="139"/>
      <c r="I93" s="139"/>
      <c r="J93" s="139"/>
      <c r="K93" s="139"/>
      <c r="L93" s="139"/>
      <c r="M93" s="139"/>
      <c r="N93" s="139"/>
      <c r="O93" s="139"/>
      <c r="P93" s="139"/>
      <c r="Q93" s="139"/>
      <c r="R93" s="139"/>
      <c r="S93" s="140"/>
      <c r="V93" s="159"/>
    </row>
    <row r="94" spans="1:22" ht="18">
      <c r="A94" s="143" t="s">
        <v>255</v>
      </c>
      <c r="B94" s="166">
        <v>100</v>
      </c>
      <c r="C94" s="144" t="s">
        <v>95</v>
      </c>
      <c r="E94" s="139"/>
      <c r="F94" s="139"/>
      <c r="G94" s="139"/>
      <c r="H94" s="139"/>
      <c r="I94" s="139"/>
      <c r="J94" s="139"/>
      <c r="K94" s="139"/>
      <c r="L94" s="139"/>
      <c r="M94" s="139"/>
      <c r="N94" s="139"/>
      <c r="O94" s="139"/>
      <c r="P94" s="139"/>
      <c r="Q94" s="139"/>
      <c r="R94" s="139"/>
      <c r="S94" s="140"/>
      <c r="V94" s="159"/>
    </row>
    <row r="95" spans="1:22">
      <c r="A95" s="143" t="s">
        <v>260</v>
      </c>
      <c r="B95" s="251" t="s">
        <v>256</v>
      </c>
      <c r="C95" s="252"/>
      <c r="E95" s="139"/>
      <c r="F95" s="139"/>
      <c r="G95" s="139"/>
      <c r="H95" s="139"/>
      <c r="I95" s="139"/>
      <c r="J95" s="139"/>
      <c r="K95" s="139"/>
      <c r="L95" s="139"/>
      <c r="M95" s="139"/>
      <c r="N95" s="139"/>
      <c r="O95" s="139"/>
      <c r="P95" s="139"/>
      <c r="Q95" s="139"/>
      <c r="R95" s="139"/>
      <c r="S95" s="140"/>
      <c r="T95" s="162"/>
      <c r="U95" s="163"/>
    </row>
    <row r="96" spans="1:22">
      <c r="A96" s="143" t="s">
        <v>204</v>
      </c>
      <c r="B96" s="166">
        <v>4</v>
      </c>
      <c r="C96" s="144" t="s">
        <v>1</v>
      </c>
      <c r="E96" s="139"/>
      <c r="F96" s="139"/>
      <c r="G96" s="139"/>
      <c r="H96" s="139"/>
      <c r="I96" s="139"/>
      <c r="J96" s="139"/>
      <c r="K96" s="139"/>
      <c r="L96" s="139"/>
      <c r="M96" s="139"/>
      <c r="N96" s="139"/>
      <c r="O96" s="139"/>
      <c r="P96" s="139"/>
      <c r="Q96" s="139"/>
      <c r="R96" s="139"/>
      <c r="S96" s="140"/>
    </row>
    <row r="97" spans="1:19" ht="18">
      <c r="A97" s="143" t="s">
        <v>257</v>
      </c>
      <c r="B97" s="150">
        <f>Calculations!B122</f>
        <v>19.183673469387756</v>
      </c>
      <c r="C97" s="144" t="s">
        <v>95</v>
      </c>
      <c r="E97" s="139"/>
      <c r="F97" s="139"/>
      <c r="G97" s="139"/>
      <c r="H97" s="139"/>
      <c r="I97" s="139"/>
      <c r="J97" s="139"/>
      <c r="K97" s="139"/>
      <c r="L97" s="139"/>
      <c r="M97" s="139"/>
      <c r="N97" s="139"/>
      <c r="O97" s="139"/>
      <c r="P97" s="139"/>
      <c r="Q97" s="139"/>
      <c r="R97" s="139"/>
      <c r="S97" s="140"/>
    </row>
    <row r="98" spans="1:19" ht="18">
      <c r="A98" s="143" t="s">
        <v>258</v>
      </c>
      <c r="B98" s="166">
        <v>22</v>
      </c>
      <c r="C98" s="144" t="s">
        <v>95</v>
      </c>
      <c r="E98" s="139"/>
      <c r="F98" s="139"/>
      <c r="G98" s="139"/>
      <c r="H98" s="139"/>
      <c r="I98" s="139"/>
      <c r="J98" s="139"/>
      <c r="K98" s="139"/>
      <c r="L98" s="139"/>
      <c r="M98" s="139"/>
      <c r="N98" s="139"/>
      <c r="O98" s="139"/>
      <c r="P98" s="139"/>
      <c r="Q98" s="139"/>
      <c r="R98" s="139"/>
      <c r="S98" s="140"/>
    </row>
    <row r="99" spans="1:19">
      <c r="A99" s="143" t="s">
        <v>259</v>
      </c>
      <c r="B99" s="155">
        <f>Calculations!B124</f>
        <v>4.2202127659574469</v>
      </c>
      <c r="C99" s="144" t="s">
        <v>1</v>
      </c>
      <c r="E99" s="139"/>
      <c r="F99" s="139"/>
      <c r="G99" s="139"/>
      <c r="H99" s="139"/>
      <c r="I99" s="139"/>
      <c r="J99" s="139"/>
      <c r="K99" s="139"/>
      <c r="L99" s="139"/>
      <c r="M99" s="139"/>
      <c r="N99" s="139"/>
      <c r="O99" s="139"/>
      <c r="P99" s="139"/>
      <c r="Q99" s="139"/>
      <c r="R99" s="139"/>
      <c r="S99" s="140"/>
    </row>
    <row r="100" spans="1:19">
      <c r="A100" s="143" t="s">
        <v>261</v>
      </c>
      <c r="B100" s="161">
        <f>Calculations!B125</f>
        <v>7.8191489361702127</v>
      </c>
      <c r="C100" s="144" t="s">
        <v>1</v>
      </c>
      <c r="E100" s="139"/>
      <c r="F100" s="139"/>
      <c r="G100" s="139"/>
      <c r="H100" s="139"/>
      <c r="I100" s="139"/>
      <c r="J100" s="139"/>
      <c r="K100" s="139"/>
      <c r="L100" s="164"/>
      <c r="M100" s="139"/>
      <c r="N100" s="139"/>
      <c r="O100" s="139"/>
      <c r="P100" s="139"/>
      <c r="Q100" s="139"/>
      <c r="R100" s="139"/>
      <c r="S100" s="140"/>
    </row>
    <row r="101" spans="1:19">
      <c r="A101" s="143" t="s">
        <v>263</v>
      </c>
      <c r="B101" s="161">
        <f>Calculations!B126</f>
        <v>3.5989361702127658</v>
      </c>
      <c r="C101" s="144" t="s">
        <v>1</v>
      </c>
      <c r="E101" s="139"/>
      <c r="F101" s="139"/>
      <c r="G101" s="139"/>
      <c r="H101" s="139"/>
      <c r="I101" s="139"/>
      <c r="J101" s="139"/>
      <c r="K101" s="139"/>
      <c r="L101" s="164"/>
      <c r="M101" s="139"/>
      <c r="N101" s="139"/>
      <c r="O101" s="139"/>
      <c r="P101" s="139"/>
      <c r="Q101" s="139"/>
      <c r="R101" s="139"/>
      <c r="S101" s="140"/>
    </row>
    <row r="102" spans="1:19" ht="15.75" thickBot="1">
      <c r="A102" s="230" t="s">
        <v>152</v>
      </c>
      <c r="B102" s="165">
        <f>Calculations!B127</f>
        <v>3.9095744680851063</v>
      </c>
      <c r="C102" s="146" t="s">
        <v>1</v>
      </c>
      <c r="E102" s="139"/>
      <c r="F102" s="139"/>
      <c r="G102" s="139"/>
      <c r="H102" s="139"/>
      <c r="I102" s="139"/>
      <c r="J102" s="139"/>
      <c r="K102" s="139"/>
      <c r="L102" s="164"/>
      <c r="M102" s="139"/>
      <c r="N102" s="139"/>
      <c r="O102" s="139"/>
      <c r="P102" s="139"/>
      <c r="Q102" s="139"/>
      <c r="R102" s="139"/>
      <c r="S102" s="140"/>
    </row>
    <row r="103" spans="1:19">
      <c r="A103" s="147"/>
      <c r="B103" s="161"/>
      <c r="C103" s="138"/>
      <c r="E103" s="139"/>
      <c r="F103" s="139"/>
      <c r="G103" s="139"/>
      <c r="H103" s="139"/>
      <c r="I103" s="139"/>
      <c r="J103" s="139"/>
      <c r="K103" s="139"/>
      <c r="L103" s="164"/>
      <c r="M103" s="139"/>
      <c r="N103" s="139"/>
      <c r="O103" s="139"/>
      <c r="P103" s="139"/>
      <c r="Q103" s="139"/>
      <c r="R103" s="139"/>
      <c r="S103" s="140"/>
    </row>
    <row r="104" spans="1:19" ht="18.75">
      <c r="A104" s="255" t="s">
        <v>492</v>
      </c>
      <c r="B104" s="255"/>
      <c r="C104" s="255"/>
      <c r="E104" s="139"/>
      <c r="F104" s="139"/>
      <c r="G104" s="139"/>
      <c r="H104" s="139"/>
      <c r="I104" s="139"/>
      <c r="J104" s="139"/>
      <c r="K104" s="139"/>
      <c r="L104" s="164"/>
      <c r="M104" s="139"/>
      <c r="N104" s="139"/>
      <c r="O104" s="139"/>
      <c r="P104" s="139"/>
      <c r="Q104" s="139"/>
      <c r="R104" s="139"/>
      <c r="S104" s="140"/>
    </row>
    <row r="105" spans="1:19" ht="7.9" customHeight="1" thickBot="1">
      <c r="A105" s="147"/>
      <c r="B105" s="155"/>
      <c r="C105" s="138"/>
      <c r="E105" s="139"/>
      <c r="F105" s="139"/>
      <c r="G105" s="139"/>
      <c r="H105" s="139"/>
      <c r="I105" s="139"/>
      <c r="J105" s="139"/>
      <c r="K105" s="139"/>
      <c r="L105" s="164"/>
      <c r="M105" s="139"/>
      <c r="N105" s="139"/>
      <c r="O105" s="139"/>
      <c r="P105" s="139"/>
      <c r="Q105" s="139"/>
      <c r="R105" s="139"/>
      <c r="S105" s="140"/>
    </row>
    <row r="106" spans="1:19" ht="15.75" thickBot="1">
      <c r="A106" s="261" t="s">
        <v>493</v>
      </c>
      <c r="B106" s="262"/>
      <c r="C106" s="263"/>
      <c r="E106" s="139"/>
      <c r="F106" s="139"/>
      <c r="G106" s="139"/>
      <c r="H106" s="139"/>
      <c r="I106" s="139"/>
      <c r="J106" s="139"/>
      <c r="K106" s="139"/>
      <c r="L106" s="164"/>
      <c r="M106" s="139"/>
      <c r="N106" s="139"/>
      <c r="O106" s="139"/>
      <c r="P106" s="139"/>
      <c r="Q106" s="139"/>
      <c r="R106" s="139"/>
      <c r="S106" s="140"/>
    </row>
    <row r="107" spans="1:19">
      <c r="A107" s="208" t="s">
        <v>553</v>
      </c>
      <c r="B107" s="169">
        <v>24</v>
      </c>
      <c r="C107" s="233" t="s">
        <v>1</v>
      </c>
      <c r="E107" s="139"/>
      <c r="F107" s="139"/>
      <c r="G107" s="139"/>
      <c r="H107" s="139"/>
      <c r="I107" s="139"/>
      <c r="J107" s="139"/>
      <c r="K107" s="139"/>
      <c r="L107" s="164"/>
      <c r="M107" s="139"/>
      <c r="N107" s="139"/>
      <c r="O107" s="139"/>
      <c r="P107" s="139"/>
      <c r="Q107" s="139"/>
      <c r="R107" s="139"/>
      <c r="S107" s="140"/>
    </row>
    <row r="108" spans="1:19" ht="18">
      <c r="A108" s="143" t="s">
        <v>552</v>
      </c>
      <c r="B108" s="138">
        <f>Calculations!B131</f>
        <v>1</v>
      </c>
      <c r="C108" s="231" t="s">
        <v>95</v>
      </c>
      <c r="E108" s="139"/>
      <c r="F108" s="139"/>
      <c r="G108" s="139"/>
      <c r="H108" s="139"/>
      <c r="I108" s="139"/>
      <c r="J108" s="139"/>
      <c r="K108" s="139"/>
      <c r="L108" s="164"/>
      <c r="M108" s="139"/>
      <c r="N108" s="139"/>
      <c r="O108" s="139"/>
      <c r="P108" s="139"/>
      <c r="Q108" s="139"/>
      <c r="R108" s="139"/>
      <c r="S108" s="140"/>
    </row>
    <row r="109" spans="1:19" ht="18">
      <c r="A109" s="143" t="s">
        <v>559</v>
      </c>
      <c r="B109" s="166">
        <v>1</v>
      </c>
      <c r="C109" s="231" t="s">
        <v>95</v>
      </c>
      <c r="E109" s="139"/>
      <c r="F109" s="139"/>
      <c r="G109" s="139"/>
      <c r="H109" s="139"/>
      <c r="I109" s="139"/>
      <c r="J109" s="139"/>
      <c r="K109" s="139"/>
      <c r="L109" s="164"/>
      <c r="M109" s="139"/>
      <c r="N109" s="139"/>
      <c r="O109" s="139"/>
      <c r="P109" s="139"/>
      <c r="Q109" s="139"/>
      <c r="R109" s="139"/>
      <c r="S109" s="140"/>
    </row>
    <row r="110" spans="1:19" ht="18">
      <c r="A110" s="143" t="s">
        <v>560</v>
      </c>
      <c r="B110" s="138">
        <f>Calculations!B133</f>
        <v>23</v>
      </c>
      <c r="C110" s="231" t="s">
        <v>95</v>
      </c>
      <c r="E110" s="139"/>
      <c r="F110" s="164"/>
      <c r="G110" s="164"/>
      <c r="H110" s="164"/>
      <c r="I110" s="164"/>
      <c r="J110" s="164"/>
      <c r="K110" s="164"/>
      <c r="L110" s="164"/>
      <c r="M110" s="139"/>
      <c r="N110" s="139"/>
      <c r="O110" s="139"/>
      <c r="P110" s="139"/>
      <c r="Q110" s="139"/>
      <c r="R110" s="139"/>
      <c r="S110" s="140"/>
    </row>
    <row r="111" spans="1:19" ht="18">
      <c r="A111" s="143" t="s">
        <v>561</v>
      </c>
      <c r="B111" s="166">
        <v>23</v>
      </c>
      <c r="C111" s="231" t="s">
        <v>95</v>
      </c>
      <c r="E111" s="139"/>
      <c r="F111" s="164"/>
      <c r="G111" s="164"/>
      <c r="H111" s="164"/>
      <c r="I111" s="164"/>
      <c r="J111" s="164"/>
      <c r="K111" s="164"/>
      <c r="L111" s="164"/>
      <c r="M111" s="139"/>
      <c r="N111" s="139"/>
      <c r="O111" s="139"/>
      <c r="P111" s="139"/>
      <c r="Q111" s="139"/>
      <c r="R111" s="139"/>
      <c r="S111" s="140"/>
    </row>
    <row r="112" spans="1:19" ht="15.75" thickBot="1">
      <c r="A112" s="145" t="s">
        <v>554</v>
      </c>
      <c r="B112" s="149">
        <f>Calculations!B135</f>
        <v>24</v>
      </c>
      <c r="C112" s="232" t="s">
        <v>1</v>
      </c>
      <c r="E112" s="139"/>
      <c r="F112" s="164"/>
      <c r="G112" s="164"/>
      <c r="H112" s="164"/>
      <c r="I112" s="164"/>
      <c r="J112" s="164"/>
      <c r="K112" s="164"/>
      <c r="L112" s="164"/>
      <c r="M112" s="139"/>
      <c r="N112" s="139"/>
      <c r="O112" s="139"/>
      <c r="P112" s="139"/>
      <c r="Q112" s="139"/>
      <c r="R112" s="139"/>
      <c r="S112" s="140"/>
    </row>
    <row r="113" spans="1:20">
      <c r="A113" s="228"/>
      <c r="B113" s="148"/>
      <c r="C113" s="138"/>
      <c r="E113" s="139"/>
      <c r="F113" s="164"/>
      <c r="G113" s="164"/>
      <c r="H113" s="164"/>
      <c r="I113" s="164"/>
      <c r="J113" s="164"/>
      <c r="K113" s="164"/>
      <c r="L113" s="164"/>
      <c r="M113" s="139"/>
      <c r="N113" s="139"/>
      <c r="O113" s="139"/>
      <c r="P113" s="139"/>
      <c r="Q113" s="139"/>
      <c r="R113" s="139"/>
      <c r="S113" s="140"/>
    </row>
    <row r="114" spans="1:20">
      <c r="A114" s="228"/>
      <c r="B114" s="138"/>
      <c r="C114" s="138"/>
      <c r="E114" s="139"/>
      <c r="F114" s="164"/>
      <c r="G114" s="164"/>
      <c r="H114" s="164"/>
      <c r="I114" s="164"/>
      <c r="J114" s="164"/>
      <c r="K114" s="164"/>
      <c r="L114" s="164"/>
      <c r="M114" s="139"/>
      <c r="N114" s="139"/>
      <c r="O114" s="139"/>
      <c r="P114" s="139"/>
      <c r="Q114" s="139"/>
      <c r="R114" s="139"/>
      <c r="S114" s="140"/>
    </row>
    <row r="115" spans="1:20" ht="18.75">
      <c r="A115" s="255" t="s">
        <v>524</v>
      </c>
      <c r="B115" s="255"/>
      <c r="C115" s="255"/>
      <c r="E115" s="139"/>
      <c r="F115" s="164"/>
      <c r="G115" s="164"/>
      <c r="H115" s="164"/>
      <c r="I115" s="164"/>
      <c r="J115" s="164"/>
      <c r="K115" s="164"/>
      <c r="L115" s="164"/>
      <c r="M115" s="139"/>
      <c r="N115" s="139"/>
      <c r="O115" s="139"/>
      <c r="P115" s="139"/>
      <c r="Q115" s="139"/>
      <c r="R115" s="139"/>
      <c r="S115" s="140"/>
    </row>
    <row r="116" spans="1:20" ht="8.1" customHeight="1" thickBot="1">
      <c r="E116" s="139"/>
      <c r="F116" s="164"/>
      <c r="G116" s="164"/>
      <c r="H116" s="164"/>
      <c r="I116" s="164"/>
      <c r="J116" s="164"/>
      <c r="K116" s="164"/>
      <c r="L116" s="164"/>
      <c r="M116" s="139"/>
      <c r="N116" s="139"/>
      <c r="O116" s="139"/>
      <c r="P116" s="139"/>
      <c r="Q116" s="139"/>
      <c r="R116" s="139"/>
      <c r="S116" s="140"/>
    </row>
    <row r="117" spans="1:20" ht="15.75" thickBot="1">
      <c r="A117" s="256" t="s">
        <v>435</v>
      </c>
      <c r="B117" s="257"/>
      <c r="C117" s="258"/>
      <c r="E117" s="139"/>
      <c r="F117" s="139"/>
      <c r="G117" s="139"/>
      <c r="H117" s="139"/>
      <c r="I117" s="139"/>
      <c r="J117" s="139"/>
      <c r="K117" s="139"/>
      <c r="L117" s="139"/>
      <c r="M117" s="139"/>
      <c r="N117" s="139"/>
      <c r="O117" s="139"/>
      <c r="P117" s="139"/>
      <c r="Q117" s="139"/>
      <c r="R117" s="139"/>
      <c r="S117" s="140"/>
    </row>
    <row r="118" spans="1:20" ht="18">
      <c r="A118" s="143" t="s">
        <v>582</v>
      </c>
      <c r="B118" s="166">
        <v>3</v>
      </c>
      <c r="C118" s="144" t="s">
        <v>1</v>
      </c>
      <c r="E118" s="139"/>
      <c r="F118" s="139"/>
      <c r="G118" s="139"/>
      <c r="H118" s="139"/>
      <c r="I118" s="139"/>
      <c r="J118" s="139"/>
      <c r="K118" s="139"/>
      <c r="L118" s="139"/>
      <c r="M118" s="139"/>
      <c r="N118" s="139"/>
      <c r="O118" s="139"/>
      <c r="P118" s="139"/>
      <c r="Q118" s="139"/>
      <c r="R118" s="139"/>
      <c r="S118" s="140"/>
    </row>
    <row r="119" spans="1:20" ht="18">
      <c r="A119" s="143" t="s">
        <v>437</v>
      </c>
      <c r="B119" s="155">
        <f>Calculations!B140</f>
        <v>19.999999999999996</v>
      </c>
      <c r="C119" s="144" t="s">
        <v>95</v>
      </c>
      <c r="E119" s="139"/>
      <c r="F119" s="139"/>
      <c r="G119" s="139"/>
      <c r="H119" s="139"/>
      <c r="I119" s="139"/>
      <c r="J119" s="139"/>
      <c r="K119" s="139"/>
      <c r="L119" s="139"/>
      <c r="M119" s="139"/>
      <c r="N119" s="139"/>
      <c r="O119" s="139"/>
      <c r="P119" s="139"/>
      <c r="Q119" s="139"/>
      <c r="R119" s="139"/>
      <c r="S119" s="140"/>
    </row>
    <row r="120" spans="1:20" ht="18">
      <c r="A120" s="143" t="s">
        <v>438</v>
      </c>
      <c r="B120" s="166">
        <v>10</v>
      </c>
      <c r="C120" s="144" t="s">
        <v>95</v>
      </c>
      <c r="E120" s="139"/>
      <c r="F120" s="139"/>
      <c r="G120" s="139"/>
      <c r="H120" s="139"/>
      <c r="I120" s="139"/>
      <c r="J120" s="139"/>
      <c r="K120" s="139"/>
      <c r="L120" s="139"/>
      <c r="M120" s="139"/>
      <c r="N120" s="139"/>
      <c r="O120" s="139"/>
      <c r="P120" s="139"/>
      <c r="Q120" s="139"/>
      <c r="R120" s="139"/>
      <c r="S120" s="140"/>
    </row>
    <row r="121" spans="1:20" ht="18">
      <c r="A121" s="143" t="s">
        <v>439</v>
      </c>
      <c r="B121" s="150">
        <f>Calculations!B142</f>
        <v>1.5</v>
      </c>
      <c r="C121" s="144" t="s">
        <v>1</v>
      </c>
      <c r="E121" s="139"/>
      <c r="F121" s="139"/>
      <c r="G121" s="139"/>
      <c r="H121" s="139"/>
      <c r="I121" s="139"/>
      <c r="J121" s="139"/>
      <c r="K121" s="139"/>
      <c r="L121" s="139"/>
      <c r="M121" s="139"/>
      <c r="N121" s="139"/>
      <c r="O121" s="139"/>
      <c r="P121" s="139"/>
      <c r="Q121" s="139"/>
      <c r="R121" s="139"/>
      <c r="S121" s="140"/>
      <c r="T121" s="137"/>
    </row>
    <row r="122" spans="1:20" ht="18">
      <c r="A122" s="143" t="s">
        <v>440</v>
      </c>
      <c r="B122" s="150">
        <f>Calculations!B143</f>
        <v>0.5</v>
      </c>
      <c r="C122" s="144" t="s">
        <v>1</v>
      </c>
      <c r="E122" s="139"/>
      <c r="F122" s="139"/>
      <c r="G122" s="139"/>
      <c r="H122" s="139"/>
      <c r="I122" s="139"/>
      <c r="J122" s="139"/>
      <c r="K122" s="139"/>
      <c r="L122" s="139"/>
      <c r="M122" s="139"/>
      <c r="N122" s="139"/>
      <c r="O122" s="139"/>
      <c r="P122" s="139"/>
      <c r="Q122" s="139"/>
      <c r="R122" s="139"/>
      <c r="S122" s="140"/>
      <c r="T122" s="137"/>
    </row>
    <row r="123" spans="1:20" ht="18">
      <c r="A123" s="143" t="s">
        <v>441</v>
      </c>
      <c r="B123" s="155">
        <f>Calculations!B144</f>
        <v>9.9999999999999982</v>
      </c>
      <c r="C123" s="144" t="s">
        <v>40</v>
      </c>
      <c r="E123" s="139"/>
      <c r="F123" s="139"/>
      <c r="G123" s="139"/>
      <c r="H123" s="139"/>
      <c r="I123" s="139"/>
      <c r="J123" s="139"/>
      <c r="K123" s="139"/>
      <c r="L123" s="139"/>
      <c r="M123" s="139"/>
      <c r="N123" s="139"/>
      <c r="O123" s="139"/>
      <c r="P123" s="139"/>
      <c r="Q123" s="139"/>
      <c r="R123" s="139"/>
      <c r="S123" s="140"/>
      <c r="T123" s="137"/>
    </row>
    <row r="124" spans="1:20" ht="18">
      <c r="A124" s="143" t="s">
        <v>442</v>
      </c>
      <c r="B124" s="166">
        <v>10</v>
      </c>
      <c r="C124" s="144" t="s">
        <v>40</v>
      </c>
      <c r="E124" s="139"/>
      <c r="F124" s="139"/>
      <c r="G124" s="139"/>
      <c r="H124" s="139"/>
      <c r="I124" s="139"/>
      <c r="J124" s="139"/>
      <c r="K124" s="139"/>
      <c r="L124" s="139"/>
      <c r="M124" s="139"/>
      <c r="N124" s="139"/>
      <c r="O124" s="139"/>
      <c r="P124" s="139"/>
      <c r="Q124" s="139"/>
      <c r="R124" s="139"/>
      <c r="S124" s="140"/>
      <c r="T124" s="137"/>
    </row>
    <row r="125" spans="1:20" ht="18">
      <c r="A125" s="143" t="s">
        <v>443</v>
      </c>
      <c r="B125" s="161">
        <f>Calculations!B147</f>
        <v>1.3390107614791966</v>
      </c>
      <c r="C125" s="144" t="s">
        <v>68</v>
      </c>
      <c r="E125" s="139"/>
      <c r="F125" s="139"/>
      <c r="G125" s="139"/>
      <c r="H125" s="139"/>
      <c r="I125" s="139"/>
      <c r="J125" s="139"/>
      <c r="K125" s="139"/>
      <c r="L125" s="139"/>
      <c r="M125" s="139"/>
      <c r="N125" s="139"/>
      <c r="O125" s="139"/>
      <c r="P125" s="139"/>
      <c r="Q125" s="139"/>
      <c r="R125" s="139"/>
      <c r="S125" s="140"/>
      <c r="T125" s="137"/>
    </row>
    <row r="126" spans="1:20" ht="18.75" thickBot="1">
      <c r="A126" s="145" t="s">
        <v>444</v>
      </c>
      <c r="B126" s="154">
        <f>Calculations!B146</f>
        <v>1.5915494309189535</v>
      </c>
      <c r="C126" s="146" t="s">
        <v>3</v>
      </c>
      <c r="E126" s="139"/>
      <c r="F126" s="139"/>
      <c r="G126" s="139"/>
      <c r="H126" s="139"/>
      <c r="I126" s="139"/>
      <c r="J126" s="139"/>
      <c r="K126" s="139"/>
      <c r="L126" s="139"/>
      <c r="M126" s="139"/>
      <c r="N126" s="139"/>
      <c r="O126" s="139"/>
      <c r="P126" s="139"/>
      <c r="Q126" s="139"/>
      <c r="R126" s="139"/>
      <c r="S126" s="140"/>
      <c r="T126" s="137"/>
    </row>
    <row r="127" spans="1:20">
      <c r="A127" s="147"/>
      <c r="B127" s="138"/>
      <c r="C127" s="138"/>
      <c r="E127" s="139"/>
      <c r="F127" s="139"/>
      <c r="G127" s="139"/>
      <c r="H127" s="139"/>
      <c r="I127" s="139"/>
      <c r="J127" s="139"/>
      <c r="K127" s="139"/>
      <c r="L127" s="139"/>
      <c r="M127" s="139"/>
      <c r="N127" s="139"/>
      <c r="O127" s="139"/>
      <c r="P127" s="139"/>
      <c r="Q127" s="139"/>
      <c r="R127" s="139"/>
      <c r="S127" s="140"/>
      <c r="T127" s="137"/>
    </row>
    <row r="128" spans="1:20" ht="18.75">
      <c r="A128" s="255" t="s">
        <v>525</v>
      </c>
      <c r="B128" s="255"/>
      <c r="C128" s="255"/>
      <c r="E128" s="139"/>
      <c r="F128" s="139"/>
      <c r="G128" s="139"/>
      <c r="H128" s="139"/>
      <c r="I128" s="139"/>
      <c r="J128" s="139"/>
      <c r="K128" s="139"/>
      <c r="L128" s="139"/>
      <c r="M128" s="139"/>
      <c r="N128" s="139"/>
      <c r="O128" s="139"/>
      <c r="P128" s="139"/>
      <c r="Q128" s="139"/>
      <c r="R128" s="139"/>
      <c r="S128" s="140"/>
      <c r="T128" s="137"/>
    </row>
    <row r="129" spans="1:20" ht="8.1" customHeight="1" thickBot="1">
      <c r="A129" s="147"/>
      <c r="B129" s="138"/>
      <c r="C129" s="138"/>
      <c r="E129" s="139"/>
      <c r="F129" s="139"/>
      <c r="G129" s="139"/>
      <c r="H129" s="139"/>
      <c r="I129" s="139"/>
      <c r="J129" s="139"/>
      <c r="K129" s="139"/>
      <c r="L129" s="139"/>
      <c r="M129" s="139"/>
      <c r="N129" s="139"/>
      <c r="O129" s="139"/>
      <c r="P129" s="139"/>
      <c r="Q129" s="139"/>
      <c r="R129" s="139"/>
      <c r="S129" s="140"/>
      <c r="T129" s="137"/>
    </row>
    <row r="130" spans="1:20" ht="15.75" thickBot="1">
      <c r="A130" s="256" t="s">
        <v>482</v>
      </c>
      <c r="B130" s="257"/>
      <c r="C130" s="258"/>
      <c r="E130" s="250" t="s">
        <v>445</v>
      </c>
      <c r="F130" s="250"/>
      <c r="G130" s="250"/>
      <c r="H130" s="159"/>
      <c r="I130" s="250" t="s">
        <v>446</v>
      </c>
      <c r="J130" s="250"/>
      <c r="K130" s="250"/>
      <c r="N130" s="159"/>
      <c r="O130" s="159"/>
      <c r="P130" s="159"/>
      <c r="Q130" s="159"/>
      <c r="R130" s="159"/>
      <c r="S130" s="160"/>
      <c r="T130" s="137"/>
    </row>
    <row r="131" spans="1:20">
      <c r="A131" s="143" t="s">
        <v>187</v>
      </c>
      <c r="B131" s="259" t="s">
        <v>189</v>
      </c>
      <c r="C131" s="260"/>
      <c r="F131" s="159"/>
      <c r="G131" s="159"/>
      <c r="H131" s="159"/>
      <c r="I131" s="159"/>
      <c r="J131" s="159"/>
      <c r="K131" s="159"/>
      <c r="N131" s="159"/>
      <c r="O131" s="159"/>
      <c r="P131" s="159"/>
      <c r="Q131" s="159"/>
      <c r="R131" s="159"/>
      <c r="S131" s="160"/>
      <c r="T131" s="137"/>
    </row>
    <row r="132" spans="1:20">
      <c r="A132" s="143" t="s">
        <v>277</v>
      </c>
      <c r="B132" s="166">
        <v>50</v>
      </c>
      <c r="C132" s="144" t="s">
        <v>93</v>
      </c>
      <c r="F132" s="159"/>
      <c r="G132" s="159"/>
      <c r="H132" s="159"/>
      <c r="I132" s="159"/>
      <c r="J132" s="159"/>
      <c r="K132" s="159"/>
      <c r="N132" s="159"/>
      <c r="O132" s="159"/>
      <c r="P132" s="159"/>
      <c r="Q132" s="159"/>
      <c r="R132" s="159"/>
      <c r="S132" s="160"/>
      <c r="T132" s="137"/>
    </row>
    <row r="133" spans="1:20" ht="18">
      <c r="A133" s="143" t="s">
        <v>351</v>
      </c>
      <c r="B133" s="155">
        <f>Calculations!B153</f>
        <v>19.047619047619051</v>
      </c>
      <c r="C133" s="144" t="s">
        <v>95</v>
      </c>
      <c r="F133" s="159"/>
      <c r="G133" s="159"/>
      <c r="H133" s="159"/>
      <c r="I133" s="159"/>
      <c r="J133" s="159"/>
      <c r="K133" s="159"/>
      <c r="N133" s="159"/>
      <c r="O133" s="159"/>
      <c r="P133" s="159"/>
      <c r="Q133" s="159"/>
      <c r="R133" s="159"/>
      <c r="S133" s="160"/>
      <c r="T133" s="137"/>
    </row>
    <row r="134" spans="1:20" ht="18">
      <c r="A134" s="143" t="s">
        <v>278</v>
      </c>
      <c r="B134" s="166">
        <v>22</v>
      </c>
      <c r="C134" s="144" t="s">
        <v>95</v>
      </c>
      <c r="F134" s="159"/>
      <c r="G134" s="159"/>
      <c r="H134" s="159"/>
      <c r="I134" s="159"/>
      <c r="J134" s="159"/>
      <c r="K134" s="159"/>
      <c r="N134" s="159"/>
      <c r="O134" s="159"/>
      <c r="P134" s="159"/>
      <c r="Q134" s="159"/>
      <c r="R134" s="159"/>
      <c r="S134" s="160"/>
      <c r="T134" s="137"/>
    </row>
    <row r="135" spans="1:20">
      <c r="A135" s="143" t="s">
        <v>200</v>
      </c>
      <c r="B135" s="138">
        <f>Calculations!B155</f>
        <v>57.75</v>
      </c>
      <c r="C135" s="144" t="s">
        <v>93</v>
      </c>
      <c r="F135" s="159"/>
      <c r="G135" s="159"/>
      <c r="H135" s="159"/>
      <c r="I135" s="159"/>
      <c r="J135" s="159"/>
      <c r="K135" s="159"/>
      <c r="N135" s="159"/>
      <c r="O135" s="159"/>
      <c r="P135" s="159"/>
      <c r="Q135" s="159"/>
      <c r="R135" s="159"/>
      <c r="S135" s="160"/>
      <c r="T135" s="137"/>
    </row>
    <row r="136" spans="1:20" ht="15.75" thickBot="1">
      <c r="A136" s="145" t="s">
        <v>201</v>
      </c>
      <c r="B136" s="149">
        <f>Calculations!B156</f>
        <v>57.75</v>
      </c>
      <c r="C136" s="146" t="s">
        <v>93</v>
      </c>
      <c r="F136" s="159"/>
      <c r="G136" s="159"/>
      <c r="H136" s="159"/>
      <c r="I136" s="159"/>
      <c r="J136" s="159"/>
      <c r="K136" s="159"/>
      <c r="N136" s="159"/>
      <c r="O136" s="159"/>
      <c r="P136" s="159"/>
      <c r="Q136" s="159"/>
      <c r="R136" s="159"/>
      <c r="S136" s="160"/>
      <c r="T136" s="137"/>
    </row>
    <row r="137" spans="1:20">
      <c r="A137" s="147"/>
      <c r="B137" s="138"/>
      <c r="C137" s="138"/>
      <c r="T137" s="137"/>
    </row>
    <row r="138" spans="1:20" ht="18.75">
      <c r="A138" s="255" t="s">
        <v>526</v>
      </c>
      <c r="B138" s="255"/>
      <c r="C138" s="255"/>
      <c r="T138" s="137"/>
    </row>
    <row r="139" spans="1:20" ht="7.9" customHeight="1" thickBot="1">
      <c r="A139" s="147"/>
      <c r="B139" s="138"/>
      <c r="C139" s="138"/>
      <c r="T139" s="137"/>
    </row>
    <row r="140" spans="1:20" ht="15.75" thickBot="1">
      <c r="A140" s="256" t="s">
        <v>494</v>
      </c>
      <c r="B140" s="257"/>
      <c r="C140" s="258"/>
      <c r="T140" s="137"/>
    </row>
    <row r="141" spans="1:20" ht="17.25">
      <c r="A141" s="143" t="s">
        <v>583</v>
      </c>
      <c r="B141" s="259" t="s">
        <v>513</v>
      </c>
      <c r="C141" s="260"/>
      <c r="T141" s="137"/>
    </row>
    <row r="142" spans="1:20">
      <c r="A142" s="143" t="s">
        <v>584</v>
      </c>
      <c r="B142" s="259" t="s">
        <v>580</v>
      </c>
      <c r="C142" s="260"/>
      <c r="T142" s="137"/>
    </row>
    <row r="143" spans="1:20" ht="18.75" thickBot="1">
      <c r="A143" s="145" t="s">
        <v>586</v>
      </c>
      <c r="B143" s="272" t="str">
        <f>Calculations!B162</f>
        <v>&lt;0.1</v>
      </c>
      <c r="C143" s="273"/>
      <c r="T143" s="137"/>
    </row>
    <row r="144" spans="1:20" ht="15.75" thickBot="1">
      <c r="A144" s="275" t="s">
        <v>521</v>
      </c>
      <c r="B144" s="276"/>
      <c r="C144" s="277"/>
      <c r="T144" s="137"/>
    </row>
    <row r="145" spans="1:20">
      <c r="A145" s="208" t="s">
        <v>585</v>
      </c>
      <c r="B145" s="278" t="str">
        <f>Calculations!B164</f>
        <v>180°</v>
      </c>
      <c r="C145" s="279"/>
      <c r="T145" s="137"/>
    </row>
    <row r="146" spans="1:20" ht="15.75" thickBot="1">
      <c r="A146" s="145" t="s">
        <v>531</v>
      </c>
      <c r="B146" s="280" t="str">
        <f>Calculations!B165</f>
        <v>HIGH</v>
      </c>
      <c r="C146" s="281"/>
      <c r="T146" s="137"/>
    </row>
    <row r="147" spans="1:20" s="138" customFormat="1">
      <c r="A147" s="147"/>
      <c r="S147" s="158"/>
    </row>
    <row r="148" spans="1:20" s="138" customFormat="1" ht="18.75" customHeight="1">
      <c r="A148" s="255" t="s">
        <v>527</v>
      </c>
      <c r="B148" s="255"/>
      <c r="C148" s="255"/>
      <c r="S148" s="158"/>
    </row>
    <row r="149" spans="1:20" ht="8.1" customHeight="1" thickBot="1">
      <c r="A149" s="147"/>
      <c r="B149" s="138"/>
      <c r="C149" s="138"/>
      <c r="T149" s="137"/>
    </row>
    <row r="150" spans="1:20" ht="15.75" thickBot="1">
      <c r="A150" s="256" t="s">
        <v>253</v>
      </c>
      <c r="B150" s="257"/>
      <c r="C150" s="258"/>
      <c r="T150" s="137"/>
    </row>
    <row r="151" spans="1:20" ht="18">
      <c r="A151" s="171" t="s">
        <v>579</v>
      </c>
      <c r="B151" s="166">
        <v>10</v>
      </c>
      <c r="C151" s="144" t="s">
        <v>214</v>
      </c>
      <c r="T151" s="137"/>
    </row>
    <row r="152" spans="1:20" ht="18">
      <c r="A152" s="171" t="s">
        <v>402</v>
      </c>
      <c r="B152" s="150">
        <f>Calculations!B172/1000</f>
        <v>16.401273885350317</v>
      </c>
      <c r="C152" s="144" t="s">
        <v>3</v>
      </c>
      <c r="T152" s="137"/>
    </row>
    <row r="153" spans="1:20" ht="18">
      <c r="A153" s="171" t="s">
        <v>403</v>
      </c>
      <c r="B153" s="166">
        <v>15</v>
      </c>
      <c r="C153" s="144" t="s">
        <v>3</v>
      </c>
      <c r="T153" s="137"/>
    </row>
    <row r="154" spans="1:20" ht="18">
      <c r="A154" s="171" t="s">
        <v>404</v>
      </c>
      <c r="B154" s="150">
        <f>Calculations!B176</f>
        <v>16.19906507476712</v>
      </c>
      <c r="C154" s="144" t="s">
        <v>95</v>
      </c>
      <c r="T154" s="137"/>
    </row>
    <row r="155" spans="1:20" ht="18">
      <c r="A155" s="171" t="s">
        <v>405</v>
      </c>
      <c r="B155" s="166">
        <v>16.5</v>
      </c>
      <c r="C155" s="144" t="s">
        <v>95</v>
      </c>
      <c r="T155" s="137"/>
    </row>
    <row r="156" spans="1:20" ht="18">
      <c r="A156" s="171" t="s">
        <v>406</v>
      </c>
      <c r="B156" s="155">
        <f>Calculations!B178</f>
        <v>3.2152513755938452</v>
      </c>
      <c r="C156" s="144" t="s">
        <v>40</v>
      </c>
      <c r="T156" s="137"/>
    </row>
    <row r="157" spans="1:20" ht="18">
      <c r="A157" s="171" t="s">
        <v>407</v>
      </c>
      <c r="B157" s="166">
        <v>3.3</v>
      </c>
      <c r="C157" s="144" t="s">
        <v>40</v>
      </c>
      <c r="T157" s="137"/>
    </row>
    <row r="158" spans="1:20" ht="18">
      <c r="A158" s="171" t="s">
        <v>408</v>
      </c>
      <c r="B158" s="155">
        <f>Calculations!B180</f>
        <v>0.21435009170625635</v>
      </c>
      <c r="C158" s="144" t="s">
        <v>40</v>
      </c>
      <c r="T158" s="137"/>
    </row>
    <row r="159" spans="1:20" ht="18">
      <c r="A159" s="171" t="s">
        <v>409</v>
      </c>
      <c r="B159" s="166">
        <v>0.1</v>
      </c>
      <c r="C159" s="144" t="s">
        <v>40</v>
      </c>
      <c r="T159" s="137"/>
    </row>
    <row r="160" spans="1:20" ht="18">
      <c r="A160" s="171" t="s">
        <v>368</v>
      </c>
      <c r="B160" s="150">
        <f>Calculations!B182</f>
        <v>2.922955795994405</v>
      </c>
      <c r="C160" s="144" t="s">
        <v>3</v>
      </c>
      <c r="T160" s="137"/>
    </row>
    <row r="161" spans="1:20" ht="18.75" thickBot="1">
      <c r="A161" s="177" t="s">
        <v>369</v>
      </c>
      <c r="B161" s="165">
        <f>Calculations!B183</f>
        <v>96.457541267815358</v>
      </c>
      <c r="C161" s="146" t="s">
        <v>3</v>
      </c>
      <c r="T161" s="137"/>
    </row>
    <row r="163" spans="1:20" s="138" customFormat="1" ht="18.75">
      <c r="A163" s="282" t="s">
        <v>528</v>
      </c>
      <c r="B163" s="282"/>
      <c r="C163" s="282"/>
      <c r="S163" s="158"/>
    </row>
    <row r="164" spans="1:20" s="138" customFormat="1" ht="8.1" customHeight="1" thickBot="1">
      <c r="A164" s="201"/>
      <c r="B164" s="201"/>
      <c r="C164" s="201"/>
      <c r="S164" s="158"/>
    </row>
    <row r="165" spans="1:20" s="138" customFormat="1" ht="18.75" thickBot="1">
      <c r="A165" s="261" t="s">
        <v>461</v>
      </c>
      <c r="B165" s="262"/>
      <c r="C165" s="263"/>
      <c r="S165" s="158"/>
    </row>
    <row r="166" spans="1:20" s="138" customFormat="1" ht="18">
      <c r="A166" s="185" t="s">
        <v>569</v>
      </c>
      <c r="B166" s="235">
        <f>Calculations!B215</f>
        <v>2.76</v>
      </c>
      <c r="C166" s="157" t="s">
        <v>95</v>
      </c>
      <c r="S166" s="158"/>
    </row>
    <row r="167" spans="1:20" s="138" customFormat="1" ht="18">
      <c r="A167" s="171" t="s">
        <v>568</v>
      </c>
      <c r="B167" s="166">
        <v>2.2000000000000002</v>
      </c>
      <c r="C167" s="144" t="s">
        <v>95</v>
      </c>
      <c r="S167" s="158"/>
    </row>
    <row r="168" spans="1:20" s="138" customFormat="1" ht="18">
      <c r="A168" s="171" t="s">
        <v>570</v>
      </c>
      <c r="B168" s="237">
        <f>Calculations!B217</f>
        <v>0.9884057971014496</v>
      </c>
      <c r="C168" s="144" t="s">
        <v>95</v>
      </c>
      <c r="S168" s="158"/>
    </row>
    <row r="169" spans="1:20" s="138" customFormat="1" ht="18.75" thickBot="1">
      <c r="A169" s="177" t="s">
        <v>567</v>
      </c>
      <c r="B169" s="167">
        <v>1</v>
      </c>
      <c r="C169" s="146" t="s">
        <v>95</v>
      </c>
      <c r="S169" s="158"/>
    </row>
    <row r="170" spans="1:20" s="138" customFormat="1">
      <c r="A170" s="147"/>
      <c r="S170" s="158"/>
    </row>
    <row r="171" spans="1:20" s="138" customFormat="1" ht="18.75" customHeight="1">
      <c r="A171" s="282" t="s">
        <v>529</v>
      </c>
      <c r="B171" s="282"/>
      <c r="C171" s="282"/>
      <c r="S171" s="158"/>
    </row>
    <row r="172" spans="1:20" ht="8.1" customHeight="1" thickBot="1">
      <c r="T172" s="137"/>
    </row>
    <row r="173" spans="1:20" ht="15.75" thickBot="1">
      <c r="A173" s="256" t="s">
        <v>347</v>
      </c>
      <c r="B173" s="257"/>
      <c r="C173" s="258"/>
      <c r="T173" s="137"/>
    </row>
    <row r="174" spans="1:20" ht="18">
      <c r="A174" s="185" t="s">
        <v>465</v>
      </c>
      <c r="B174" s="169">
        <v>1.75</v>
      </c>
      <c r="C174" s="157" t="s">
        <v>1</v>
      </c>
      <c r="T174" s="137"/>
    </row>
    <row r="175" spans="1:20" ht="18">
      <c r="A175" s="171" t="s">
        <v>555</v>
      </c>
      <c r="B175" s="166">
        <v>4.3</v>
      </c>
      <c r="C175" s="144" t="s">
        <v>95</v>
      </c>
      <c r="T175" s="137"/>
    </row>
    <row r="176" spans="1:20" ht="18">
      <c r="A176" s="171" t="s">
        <v>556</v>
      </c>
      <c r="B176" s="138">
        <f>Calculations!B192/1000</f>
        <v>25.185714285714287</v>
      </c>
      <c r="C176" s="144" t="s">
        <v>95</v>
      </c>
      <c r="T176" s="137"/>
    </row>
    <row r="177" spans="1:20" ht="18">
      <c r="A177" s="171" t="s">
        <v>557</v>
      </c>
      <c r="B177" s="166">
        <v>22</v>
      </c>
      <c r="C177" s="144" t="s">
        <v>95</v>
      </c>
      <c r="T177" s="137"/>
    </row>
    <row r="178" spans="1:20">
      <c r="A178" s="171" t="s">
        <v>326</v>
      </c>
      <c r="B178" s="138">
        <f>Calculations!B197/1000</f>
        <v>1.5</v>
      </c>
      <c r="C178" s="144" t="s">
        <v>3</v>
      </c>
      <c r="T178" s="137"/>
    </row>
    <row r="179" spans="1:20">
      <c r="A179" s="171" t="s">
        <v>221</v>
      </c>
      <c r="B179" s="166">
        <v>1.5</v>
      </c>
      <c r="C179" s="144" t="s">
        <v>3</v>
      </c>
      <c r="T179" s="137"/>
    </row>
    <row r="180" spans="1:20" ht="18">
      <c r="A180" s="171" t="s">
        <v>410</v>
      </c>
      <c r="B180" s="150">
        <f>Calculations!B224</f>
        <v>4.8737411790730611</v>
      </c>
      <c r="C180" s="144" t="s">
        <v>95</v>
      </c>
      <c r="T180" s="137"/>
    </row>
    <row r="181" spans="1:20" ht="18">
      <c r="A181" s="171" t="s">
        <v>411</v>
      </c>
      <c r="B181" s="166">
        <v>4.3</v>
      </c>
      <c r="C181" s="144" t="s">
        <v>95</v>
      </c>
      <c r="T181" s="137"/>
    </row>
    <row r="182" spans="1:20" ht="18">
      <c r="A182" s="171" t="s">
        <v>412</v>
      </c>
      <c r="B182" s="155">
        <f>Calculations!B226</f>
        <v>187.90697674418607</v>
      </c>
      <c r="C182" s="144" t="s">
        <v>40</v>
      </c>
      <c r="T182" s="137"/>
    </row>
    <row r="183" spans="1:20" ht="18">
      <c r="A183" s="171" t="s">
        <v>413</v>
      </c>
      <c r="B183" s="166">
        <v>100</v>
      </c>
      <c r="C183" s="144" t="s">
        <v>40</v>
      </c>
      <c r="T183" s="137"/>
    </row>
    <row r="184" spans="1:20" ht="18">
      <c r="A184" s="171" t="s">
        <v>414</v>
      </c>
      <c r="B184" s="176">
        <f>Calculations!B228</f>
        <v>4935.0369950975301</v>
      </c>
      <c r="C184" s="144" t="s">
        <v>367</v>
      </c>
      <c r="T184" s="137"/>
    </row>
    <row r="185" spans="1:20" ht="18">
      <c r="A185" s="171" t="s">
        <v>415</v>
      </c>
      <c r="B185" s="166">
        <v>3300</v>
      </c>
      <c r="C185" s="144" t="s">
        <v>367</v>
      </c>
      <c r="T185" s="137"/>
    </row>
    <row r="186" spans="1:20" ht="18">
      <c r="A186" s="171" t="s">
        <v>368</v>
      </c>
      <c r="B186" s="150">
        <f>Calculations!B230</f>
        <v>0.37012777463231472</v>
      </c>
      <c r="C186" s="144" t="s">
        <v>3</v>
      </c>
      <c r="T186" s="137"/>
    </row>
    <row r="187" spans="1:20" ht="18.75" thickBot="1">
      <c r="A187" s="177" t="s">
        <v>369</v>
      </c>
      <c r="B187" s="154">
        <f>Calculations!B231</f>
        <v>11.215993170676203</v>
      </c>
      <c r="C187" s="146" t="s">
        <v>3</v>
      </c>
      <c r="T187" s="137"/>
    </row>
    <row r="188" spans="1:20">
      <c r="T188" s="137"/>
    </row>
    <row r="189" spans="1:20" ht="18.75">
      <c r="A189" s="255" t="s">
        <v>530</v>
      </c>
      <c r="B189" s="255"/>
      <c r="C189" s="255"/>
      <c r="R189" s="138"/>
      <c r="T189" s="137"/>
    </row>
    <row r="190" spans="1:20" ht="8.1" customHeight="1" thickBot="1">
      <c r="R190" s="138"/>
    </row>
    <row r="191" spans="1:20" s="138" customFormat="1" ht="15.75" thickBot="1">
      <c r="A191" s="256" t="s">
        <v>348</v>
      </c>
      <c r="B191" s="257"/>
      <c r="C191" s="258"/>
      <c r="S191" s="158"/>
    </row>
    <row r="192" spans="1:20" s="138" customFormat="1" ht="18">
      <c r="A192" s="185" t="s">
        <v>465</v>
      </c>
      <c r="B192" s="169">
        <v>1.75</v>
      </c>
      <c r="C192" s="157" t="s">
        <v>1</v>
      </c>
      <c r="S192" s="158"/>
    </row>
    <row r="193" spans="1:20" ht="18">
      <c r="A193" s="171" t="s">
        <v>555</v>
      </c>
      <c r="B193" s="166">
        <v>3.3</v>
      </c>
      <c r="C193" s="144" t="s">
        <v>95</v>
      </c>
      <c r="R193" s="138"/>
      <c r="T193" s="137"/>
    </row>
    <row r="194" spans="1:20" ht="18">
      <c r="A194" s="171" t="s">
        <v>556</v>
      </c>
      <c r="B194" s="138">
        <f>Calculations!B236/1000</f>
        <v>100.41428571428571</v>
      </c>
      <c r="C194" s="144" t="s">
        <v>95</v>
      </c>
      <c r="R194" s="138"/>
      <c r="T194" s="137"/>
    </row>
    <row r="195" spans="1:20" ht="18">
      <c r="A195" s="171" t="s">
        <v>557</v>
      </c>
      <c r="B195" s="166">
        <v>100</v>
      </c>
      <c r="C195" s="144" t="s">
        <v>95</v>
      </c>
      <c r="R195" s="138"/>
      <c r="T195" s="137"/>
    </row>
    <row r="196" spans="1:20">
      <c r="A196" s="171" t="s">
        <v>326</v>
      </c>
      <c r="B196" s="161">
        <f>Calculations!B241/1000</f>
        <v>1.0522640865579858</v>
      </c>
      <c r="C196" s="144" t="s">
        <v>3</v>
      </c>
      <c r="R196" s="138"/>
      <c r="T196" s="137"/>
    </row>
    <row r="197" spans="1:20">
      <c r="A197" s="171" t="s">
        <v>221</v>
      </c>
      <c r="B197" s="249">
        <v>3</v>
      </c>
      <c r="C197" s="144" t="s">
        <v>3</v>
      </c>
      <c r="D197" s="137"/>
      <c r="R197" s="138"/>
      <c r="T197" s="137"/>
    </row>
    <row r="198" spans="1:20" ht="18">
      <c r="A198" s="171" t="s">
        <v>416</v>
      </c>
      <c r="B198" s="155">
        <f>Calculations!B264</f>
        <v>181.12024206208736</v>
      </c>
      <c r="C198" s="144" t="s">
        <v>95</v>
      </c>
      <c r="D198" s="137"/>
      <c r="R198" s="138"/>
      <c r="T198" s="137"/>
    </row>
    <row r="199" spans="1:20" ht="18">
      <c r="A199" s="171" t="s">
        <v>417</v>
      </c>
      <c r="B199" s="166">
        <v>100</v>
      </c>
      <c r="C199" s="144" t="s">
        <v>95</v>
      </c>
      <c r="D199" s="137"/>
      <c r="R199" s="138"/>
      <c r="T199" s="137"/>
    </row>
    <row r="200" spans="1:20" ht="18">
      <c r="A200" s="171" t="s">
        <v>418</v>
      </c>
      <c r="B200" s="150">
        <f>Calculations!B266</f>
        <v>66.059999999999974</v>
      </c>
      <c r="C200" s="144" t="s">
        <v>40</v>
      </c>
      <c r="D200" s="137"/>
      <c r="R200" s="138"/>
      <c r="T200" s="137"/>
    </row>
    <row r="201" spans="1:20" ht="18">
      <c r="A201" s="171" t="s">
        <v>419</v>
      </c>
      <c r="B201" s="166">
        <v>100</v>
      </c>
      <c r="C201" s="144" t="s">
        <v>40</v>
      </c>
      <c r="D201" s="137"/>
      <c r="R201" s="138"/>
      <c r="T201" s="137"/>
    </row>
    <row r="202" spans="1:20" ht="18">
      <c r="A202" s="171" t="s">
        <v>420</v>
      </c>
      <c r="B202" s="176">
        <f>Calculations!B268</f>
        <v>302.49999999999994</v>
      </c>
      <c r="C202" s="144" t="s">
        <v>367</v>
      </c>
      <c r="D202" s="137"/>
      <c r="R202" s="138"/>
      <c r="T202" s="137"/>
    </row>
    <row r="203" spans="1:20" ht="18">
      <c r="A203" s="171" t="s">
        <v>421</v>
      </c>
      <c r="B203" s="166">
        <v>100</v>
      </c>
      <c r="C203" s="144" t="s">
        <v>367</v>
      </c>
      <c r="D203" s="137"/>
      <c r="R203" s="138"/>
      <c r="T203" s="137"/>
    </row>
    <row r="204" spans="1:20" ht="18">
      <c r="A204" s="171" t="s">
        <v>368</v>
      </c>
      <c r="B204" s="150">
        <f>Calculations!B270</f>
        <v>1.5915494309189534E-2</v>
      </c>
      <c r="C204" s="144" t="s">
        <v>3</v>
      </c>
      <c r="D204" s="137"/>
      <c r="R204" s="138"/>
      <c r="T204" s="137"/>
    </row>
    <row r="205" spans="1:20" ht="18.75" thickBot="1">
      <c r="A205" s="145" t="s">
        <v>279</v>
      </c>
      <c r="B205" s="154">
        <f>Calculations!B271</f>
        <v>15.915494309189533</v>
      </c>
      <c r="C205" s="146" t="s">
        <v>3</v>
      </c>
      <c r="D205" s="137"/>
      <c r="R205" s="138"/>
      <c r="T205" s="137"/>
    </row>
    <row r="206" spans="1:20">
      <c r="D206" s="137"/>
      <c r="R206" s="138"/>
      <c r="T206" s="137"/>
    </row>
    <row r="207" spans="1:20" ht="18.75">
      <c r="A207" s="255" t="s">
        <v>591</v>
      </c>
      <c r="B207" s="255"/>
      <c r="C207" s="255"/>
      <c r="D207" s="137"/>
      <c r="R207" s="138"/>
      <c r="T207" s="137"/>
    </row>
    <row r="208" spans="1:20">
      <c r="A208" s="274" t="s">
        <v>592</v>
      </c>
      <c r="B208" s="274"/>
      <c r="C208" s="246"/>
      <c r="D208" s="247"/>
      <c r="E208" s="245"/>
      <c r="F208" s="245"/>
      <c r="R208" s="138"/>
      <c r="T208" s="137"/>
    </row>
    <row r="209" spans="1:18">
      <c r="A209" s="274" t="s">
        <v>593</v>
      </c>
      <c r="B209" s="274"/>
      <c r="C209" s="246"/>
      <c r="D209" s="248"/>
      <c r="R209" s="138"/>
    </row>
    <row r="210" spans="1:18">
      <c r="A210" s="147"/>
      <c r="B210" s="138"/>
    </row>
    <row r="211" spans="1:18">
      <c r="A211" s="244"/>
      <c r="B211" s="138"/>
    </row>
  </sheetData>
  <sheetProtection algorithmName="SHA-512" hashValue="kgmehYuTP0kdEK1ly0/lQg4DT1V49YZTvqqizDbkpIgcwFvNu7kTMnNMwVVQEsPHsRzUbNvyRkGAEH7GoLgPnQ==" saltValue="eJbF3+nZuq1S5nGAxXzcxw==" spinCount="100000" sheet="1" selectLockedCells="1"/>
  <mergeCells count="55">
    <mergeCell ref="A207:C207"/>
    <mergeCell ref="A208:B208"/>
    <mergeCell ref="A209:B209"/>
    <mergeCell ref="A144:C144"/>
    <mergeCell ref="B145:C145"/>
    <mergeCell ref="B146:C146"/>
    <mergeCell ref="A171:C171"/>
    <mergeCell ref="A165:C165"/>
    <mergeCell ref="A163:C163"/>
    <mergeCell ref="A148:C148"/>
    <mergeCell ref="A138:C138"/>
    <mergeCell ref="A140:C140"/>
    <mergeCell ref="B143:C143"/>
    <mergeCell ref="B141:C141"/>
    <mergeCell ref="B142:C142"/>
    <mergeCell ref="G10:N11"/>
    <mergeCell ref="A173:C173"/>
    <mergeCell ref="A189:C189"/>
    <mergeCell ref="A191:C191"/>
    <mergeCell ref="A1:XFD3"/>
    <mergeCell ref="A15:C15"/>
    <mergeCell ref="A10:C10"/>
    <mergeCell ref="A35:C35"/>
    <mergeCell ref="A24:C24"/>
    <mergeCell ref="A20:C20"/>
    <mergeCell ref="A8:C8"/>
    <mergeCell ref="A32:C32"/>
    <mergeCell ref="A150:C150"/>
    <mergeCell ref="A33:C33"/>
    <mergeCell ref="A42:C42"/>
    <mergeCell ref="A57:C57"/>
    <mergeCell ref="B131:C131"/>
    <mergeCell ref="F90:H90"/>
    <mergeCell ref="A44:C44"/>
    <mergeCell ref="A59:C59"/>
    <mergeCell ref="A62:C62"/>
    <mergeCell ref="A66:C66"/>
    <mergeCell ref="A69:C69"/>
    <mergeCell ref="A81:C81"/>
    <mergeCell ref="B68:C68"/>
    <mergeCell ref="A104:C104"/>
    <mergeCell ref="A106:C106"/>
    <mergeCell ref="Q90:R90"/>
    <mergeCell ref="E130:G130"/>
    <mergeCell ref="B95:C95"/>
    <mergeCell ref="P74:Q74"/>
    <mergeCell ref="K90:M90"/>
    <mergeCell ref="I130:K130"/>
    <mergeCell ref="A87:C87"/>
    <mergeCell ref="A117:C117"/>
    <mergeCell ref="A115:C115"/>
    <mergeCell ref="A130:C130"/>
    <mergeCell ref="A89:C89"/>
    <mergeCell ref="A128:C128"/>
    <mergeCell ref="B90:C90"/>
  </mergeCells>
  <phoneticPr fontId="24" type="noConversion"/>
  <dataValidations count="1">
    <dataValidation allowBlank="1" showInputMessage="1" sqref="B49"/>
  </dataValidations>
  <hyperlinks>
    <hyperlink ref="R5" location="Licenses!A1" display="Terms of Use"/>
    <hyperlink ref="A208" r:id="rId1"/>
    <hyperlink ref="A209" r:id="rId2"/>
  </hyperlinks>
  <pageMargins left="0.7" right="0.7" top="0.75" bottom="0.75" header="0.3" footer="0.3"/>
  <pageSetup orientation="portrait"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6" id="{07FC6EAE-5778-4309-937A-687AA588D44B}">
            <xm:f>Calculations!$B$115=0</xm:f>
            <x14:dxf>
              <font>
                <strike/>
              </font>
              <fill>
                <patternFill>
                  <bgColor theme="0" tint="-0.24994659260841701"/>
                </patternFill>
              </fill>
            </x14:dxf>
          </x14:cfRule>
          <xm:sqref>B91:C102</xm:sqref>
        </x14:conditionalFormatting>
        <x14:conditionalFormatting xmlns:xm="http://schemas.microsoft.com/office/excel/2006/main">
          <x14:cfRule type="expression" priority="97" id="{6C6BBDF6-48B1-4593-9A50-F8BCAE673E59}">
            <xm:f>Calculations!$B$151=0</xm:f>
            <x14:dxf>
              <font>
                <strike/>
              </font>
              <fill>
                <patternFill>
                  <bgColor theme="0" tint="-0.14996795556505021"/>
                </patternFill>
              </fill>
            </x14:dxf>
          </x14:cfRule>
          <xm:sqref>B132:C134</xm:sqref>
        </x14:conditionalFormatting>
        <x14:conditionalFormatting xmlns:xm="http://schemas.microsoft.com/office/excel/2006/main">
          <x14:cfRule type="expression" priority="24" id="{9FA85335-EB2E-48A9-A7D7-C07E978031A2}">
            <xm:f>Calculations!$B$88=1</xm:f>
            <x14:dxf>
              <font>
                <strike/>
              </font>
              <fill>
                <patternFill>
                  <bgColor theme="0" tint="-0.24994659260841701"/>
                </patternFill>
              </fill>
            </x14:dxf>
          </x14:cfRule>
          <xm:sqref>B70:C80</xm:sqref>
        </x14:conditionalFormatting>
        <x14:conditionalFormatting xmlns:xm="http://schemas.microsoft.com/office/excel/2006/main">
          <x14:cfRule type="expression" priority="23" id="{8E159F03-0D07-4EAA-A69E-27DBA1022A36}">
            <xm:f>Calculations!$B$88=0</xm:f>
            <x14:dxf>
              <font>
                <strike/>
              </font>
              <fill>
                <patternFill>
                  <bgColor theme="0" tint="-0.24994659260841701"/>
                </patternFill>
              </fill>
            </x14:dxf>
          </x14:cfRule>
          <xm:sqref>B82:C82 B85:C85</xm:sqref>
        </x14:conditionalFormatting>
        <x14:conditionalFormatting xmlns:xm="http://schemas.microsoft.com/office/excel/2006/main">
          <x14:cfRule type="expression" priority="19" id="{B2366107-DEDD-43B4-8250-079DE7E01FE3}">
            <xm:f>AND(Calculations!$B$115=1,Calculations!$B$120=0)</xm:f>
            <x14:dxf>
              <fill>
                <patternFill>
                  <bgColor rgb="FF92D050"/>
                </patternFill>
              </fill>
            </x14:dxf>
          </x14:cfRule>
          <xm:sqref>F90:H90</xm:sqref>
        </x14:conditionalFormatting>
        <x14:conditionalFormatting xmlns:xm="http://schemas.microsoft.com/office/excel/2006/main">
          <x14:cfRule type="expression" priority="20" id="{786F59AD-C9E6-4F8B-90AE-0B028E1196B9}">
            <xm:f>AND(Calculations!$B$115=1,Calculations!$B$120=1)</xm:f>
            <x14:dxf>
              <fill>
                <patternFill>
                  <bgColor rgb="FF92D050"/>
                </patternFill>
              </fill>
            </x14:dxf>
          </x14:cfRule>
          <xm:sqref>K90:M90</xm:sqref>
        </x14:conditionalFormatting>
        <x14:conditionalFormatting xmlns:xm="http://schemas.microsoft.com/office/excel/2006/main">
          <x14:cfRule type="expression" priority="21" id="{54930C2E-2079-4682-986C-14AD37D2ED3C}">
            <xm:f>Calculations!$B$115=0</xm:f>
            <x14:dxf>
              <fill>
                <patternFill>
                  <bgColor rgb="FF92D050"/>
                </patternFill>
              </fill>
            </x14:dxf>
          </x14:cfRule>
          <xm:sqref>Q90:R90</xm:sqref>
        </x14:conditionalFormatting>
        <x14:conditionalFormatting xmlns:xm="http://schemas.microsoft.com/office/excel/2006/main">
          <x14:cfRule type="expression" priority="18" id="{C1139A9E-2F83-4A8B-AFCA-C2AE036E7CC9}">
            <xm:f>Calculations!$B$151=0</xm:f>
            <x14:dxf>
              <fill>
                <patternFill>
                  <bgColor rgb="FF92D050"/>
                </patternFill>
              </fill>
            </x14:dxf>
          </x14:cfRule>
          <xm:sqref>E130:G130</xm:sqref>
        </x14:conditionalFormatting>
        <x14:conditionalFormatting xmlns:xm="http://schemas.microsoft.com/office/excel/2006/main">
          <x14:cfRule type="expression" priority="17" id="{1B9613E3-4134-43B0-9DBF-4369EB83EEF7}">
            <xm:f>Calculations!$B$151=1</xm:f>
            <x14:dxf>
              <fill>
                <patternFill>
                  <bgColor rgb="FF92D050"/>
                </patternFill>
              </fill>
            </x14:dxf>
          </x14:cfRule>
          <xm:sqref>I130:K130</xm:sqref>
        </x14:conditionalFormatting>
        <x14:conditionalFormatting xmlns:xm="http://schemas.microsoft.com/office/excel/2006/main">
          <x14:cfRule type="expression" priority="15" id="{71C5346A-CE74-4315-941C-E119401514EE}">
            <xm:f>Calculations!$D$15</xm:f>
            <x14:dxf>
              <fill>
                <patternFill>
                  <bgColor rgb="FFFF0000"/>
                </patternFill>
              </fill>
            </x14:dxf>
          </x14:cfRule>
          <xm:sqref>B21</xm:sqref>
        </x14:conditionalFormatting>
        <x14:conditionalFormatting xmlns:xm="http://schemas.microsoft.com/office/excel/2006/main">
          <x14:cfRule type="expression" priority="12" id="{8DA8BAD0-9FFF-48EC-97B1-D1E0361372EA}">
            <xm:f>Calculations!$D$7</xm:f>
            <x14:dxf>
              <fill>
                <patternFill>
                  <bgColor rgb="FFFF0000"/>
                </patternFill>
              </fill>
            </x14:dxf>
          </x14:cfRule>
          <xm:sqref>B11</xm:sqref>
        </x14:conditionalFormatting>
        <x14:conditionalFormatting xmlns:xm="http://schemas.microsoft.com/office/excel/2006/main">
          <x14:cfRule type="expression" priority="11" id="{6383C642-A2E1-47C5-BE0A-9410EF4CC739}">
            <xm:f>Calculations!$D$8</xm:f>
            <x14:dxf>
              <fill>
                <patternFill>
                  <bgColor rgb="FFFF0000"/>
                </patternFill>
              </fill>
            </x14:dxf>
          </x14:cfRule>
          <xm:sqref>B12</xm:sqref>
        </x14:conditionalFormatting>
        <x14:conditionalFormatting xmlns:xm="http://schemas.microsoft.com/office/excel/2006/main">
          <x14:cfRule type="expression" priority="10" id="{68164077-B6D3-47AD-9F74-4B1AD88F8436}">
            <xm:f>Calculations!$D$9</xm:f>
            <x14:dxf>
              <fill>
                <patternFill>
                  <bgColor rgb="FFFF0000"/>
                </patternFill>
              </fill>
            </x14:dxf>
          </x14:cfRule>
          <xm:sqref>B13</xm:sqref>
        </x14:conditionalFormatting>
        <x14:conditionalFormatting xmlns:xm="http://schemas.microsoft.com/office/excel/2006/main">
          <x14:cfRule type="expression" priority="9" id="{7FADB542-7869-4724-8891-E325FAB0B76D}">
            <xm:f>Calculations!$D$11</xm:f>
            <x14:dxf>
              <fill>
                <patternFill>
                  <bgColor rgb="FFFF0000"/>
                </patternFill>
              </fill>
            </x14:dxf>
          </x14:cfRule>
          <xm:sqref>B16</xm:sqref>
        </x14:conditionalFormatting>
        <x14:conditionalFormatting xmlns:xm="http://schemas.microsoft.com/office/excel/2006/main">
          <x14:cfRule type="expression" priority="8" id="{B919A512-D41A-4909-82CD-BA9AA011A576}">
            <xm:f>Calculations!$D$12</xm:f>
            <x14:dxf>
              <fill>
                <patternFill>
                  <bgColor rgb="FFFF0000"/>
                </patternFill>
              </fill>
            </x14:dxf>
          </x14:cfRule>
          <xm:sqref>B17</xm:sqref>
        </x14:conditionalFormatting>
        <x14:conditionalFormatting xmlns:xm="http://schemas.microsoft.com/office/excel/2006/main">
          <x14:cfRule type="expression" priority="7" id="{6D1F4A22-E22E-439F-B7C4-82E3FA7A875C}">
            <xm:f>Calculations!$D$13</xm:f>
            <x14:dxf>
              <fill>
                <patternFill>
                  <bgColor rgb="FFFF0000"/>
                </patternFill>
              </fill>
            </x14:dxf>
          </x14:cfRule>
          <xm:sqref>B18</xm:sqref>
        </x14:conditionalFormatting>
        <x14:conditionalFormatting xmlns:xm="http://schemas.microsoft.com/office/excel/2006/main">
          <x14:cfRule type="expression" priority="98" id="{72F261F3-C112-49B4-9B33-09E9FE7FF750}">
            <xm:f>Calculations!$D$139=1</xm:f>
            <x14:dxf>
              <fill>
                <patternFill>
                  <bgColor rgb="FFFF0000"/>
                </patternFill>
              </fill>
            </x14:dxf>
          </x14:cfRule>
          <xm:sqref>B118</xm:sqref>
        </x14:conditionalFormatting>
        <x14:conditionalFormatting xmlns:xm="http://schemas.microsoft.com/office/excel/2006/main">
          <x14:cfRule type="expression" priority="99" id="{DE18DFA1-F8B7-4BDD-8B82-246AAAD06FE9}">
            <xm:f>Calculations!$D$142=1</xm:f>
            <x14:dxf>
              <fill>
                <patternFill>
                  <bgColor rgb="FFFF0000"/>
                </patternFill>
              </fill>
            </x14:dxf>
          </x14:cfRule>
          <xm:sqref>B121</xm:sqref>
        </x14:conditionalFormatting>
        <x14:conditionalFormatting xmlns:xm="http://schemas.microsoft.com/office/excel/2006/main">
          <x14:cfRule type="expression" priority="6" id="{E0AF23A0-C035-4129-BA83-BB84123512E7}">
            <xm:f>Calculations!$D$152</xm:f>
            <x14:dxf>
              <fill>
                <patternFill>
                  <bgColor rgb="FFFF0000"/>
                </patternFill>
              </fill>
            </x14:dxf>
          </x14:cfRule>
          <xm:sqref>B132</xm:sqref>
        </x14:conditionalFormatting>
        <x14:conditionalFormatting xmlns:xm="http://schemas.microsoft.com/office/excel/2006/main">
          <x14:cfRule type="expression" priority="5" id="{9DC73A9C-A17D-41DA-BF5E-1B70CEDA74DD}">
            <xm:f>Calculations!$D$155</xm:f>
            <x14:dxf>
              <fill>
                <patternFill>
                  <bgColor rgb="FFFF0000"/>
                </patternFill>
              </fill>
            </x14:dxf>
          </x14:cfRule>
          <xm:sqref>B135</xm:sqref>
        </x14:conditionalFormatting>
        <x14:conditionalFormatting xmlns:xm="http://schemas.microsoft.com/office/excel/2006/main">
          <x14:cfRule type="expression" priority="4" id="{EBA98BB0-569E-42C2-8F9B-11318F2B3C69}">
            <xm:f>Calculations!$D$156</xm:f>
            <x14:dxf>
              <fill>
                <patternFill>
                  <bgColor rgb="FFFF0000"/>
                </patternFill>
              </fill>
            </x14:dxf>
          </x14:cfRule>
          <xm:sqref>B136</xm:sqref>
        </x14:conditionalFormatting>
        <x14:conditionalFormatting xmlns:xm="http://schemas.microsoft.com/office/excel/2006/main">
          <x14:cfRule type="expression" priority="3" id="{45C6D6DC-EAAF-48DA-9322-F9561F33DAA9}">
            <xm:f>Calculations!$D$217</xm:f>
            <x14:dxf>
              <fill>
                <patternFill>
                  <bgColor rgb="FFFF0000"/>
                </patternFill>
              </fill>
            </x14:dxf>
          </x14:cfRule>
          <xm:sqref>B168</xm:sqref>
        </x14:conditionalFormatting>
        <x14:conditionalFormatting xmlns:xm="http://schemas.microsoft.com/office/excel/2006/main">
          <x14:cfRule type="expression" priority="2" id="{9FC0A7E8-5F9A-44ED-A30D-4661B538CF91}">
            <xm:f>Calculations!$B$120=0</xm:f>
            <x14:dxf>
              <font>
                <strike/>
              </font>
              <fill>
                <patternFill>
                  <bgColor theme="0" tint="-0.24994659260841701"/>
                </patternFill>
              </fill>
            </x14:dxf>
          </x14:cfRule>
          <xm:sqref>B96:C98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Lists!$A$2:$A$3</xm:f>
          </x14:formula1>
          <xm:sqref>B90</xm:sqref>
        </x14:dataValidation>
        <x14:dataValidation type="list" allowBlank="1" showInputMessage="1">
          <x14:formula1>
            <xm:f>Lists!$E$2:$E$3</xm:f>
          </x14:formula1>
          <xm:sqref>B118</xm:sqref>
        </x14:dataValidation>
        <x14:dataValidation type="list" allowBlank="1" showInputMessage="1" showErrorMessage="1">
          <x14:formula1>
            <xm:f>Lists!$C$2:$C$3</xm:f>
          </x14:formula1>
          <xm:sqref>B95</xm:sqref>
        </x14:dataValidation>
        <x14:dataValidation type="list" allowBlank="1" showInputMessage="1" showErrorMessage="1">
          <x14:formula1>
            <xm:f>Lists!$G$2:$G$3</xm:f>
          </x14:formula1>
          <xm:sqref>B131</xm:sqref>
        </x14:dataValidation>
        <x14:dataValidation type="list" allowBlank="1" showInputMessage="1">
          <x14:formula1>
            <xm:f>Lists!$I$2</xm:f>
          </x14:formula1>
          <xm:sqref>B72</xm:sqref>
        </x14:dataValidation>
        <x14:dataValidation type="list" allowBlank="1" showInputMessage="1" showErrorMessage="1">
          <x14:formula1>
            <xm:f>Lists!$K$2:$K$3</xm:f>
          </x14:formula1>
          <xm:sqref>B68:C68</xm:sqref>
        </x14:dataValidation>
        <x14:dataValidation type="list" allowBlank="1" showInputMessage="1" showErrorMessage="1">
          <x14:formula1>
            <xm:f>Lists!$M$2:$M$9</xm:f>
          </x14:formula1>
          <xm:sqref>B141:C141</xm:sqref>
        </x14:dataValidation>
        <x14:dataValidation type="list" allowBlank="1" showInputMessage="1" showErrorMessage="1">
          <x14:formula1>
            <xm:f>Lists!$N$9:$N$10</xm:f>
          </x14:formula1>
          <xm:sqref>B142:C142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2:AP274"/>
  <sheetViews>
    <sheetView topLeftCell="A214" zoomScaleNormal="100" workbookViewId="0">
      <selection activeCell="B241" sqref="B241"/>
    </sheetView>
  </sheetViews>
  <sheetFormatPr baseColWidth="10" defaultColWidth="9.140625" defaultRowHeight="15"/>
  <cols>
    <col min="1" max="1" width="46.42578125" style="36" customWidth="1"/>
    <col min="2" max="2" width="25" style="35" bestFit="1" customWidth="1"/>
    <col min="3" max="3" width="10" style="36" bestFit="1" customWidth="1"/>
    <col min="4" max="4" width="10.28515625" style="36" bestFit="1" customWidth="1"/>
    <col min="5" max="5" width="10.28515625" style="36" customWidth="1"/>
    <col min="6" max="11" width="10.28515625" customWidth="1"/>
    <col min="12" max="12" width="10.85546875" bestFit="1" customWidth="1"/>
    <col min="15" max="15" width="10.42578125" customWidth="1"/>
    <col min="16" max="16" width="12" bestFit="1" customWidth="1"/>
    <col min="17" max="17" width="9.42578125" customWidth="1"/>
    <col min="18" max="19" width="12" customWidth="1"/>
    <col min="20" max="20" width="11.42578125" customWidth="1"/>
    <col min="29" max="29" width="11" customWidth="1"/>
    <col min="32" max="32" width="12.28515625" customWidth="1"/>
    <col min="56" max="56" width="9.140625" customWidth="1"/>
    <col min="59" max="59" width="9.140625" customWidth="1"/>
  </cols>
  <sheetData>
    <row r="2" spans="1:39">
      <c r="N2" s="21" t="s">
        <v>28</v>
      </c>
      <c r="O2" s="21"/>
      <c r="P2" s="21"/>
      <c r="Q2" s="21"/>
      <c r="R2" s="21"/>
      <c r="S2" s="21"/>
      <c r="T2" s="21"/>
      <c r="U2" s="21"/>
      <c r="V2" s="21"/>
      <c r="W2" s="21"/>
      <c r="X2" s="21"/>
      <c r="Y2" s="21"/>
      <c r="Z2" s="21"/>
      <c r="AA2" s="21"/>
    </row>
    <row r="3" spans="1:39" ht="15.75" thickBot="1">
      <c r="N3" s="21"/>
      <c r="O3" s="21"/>
      <c r="P3" s="21"/>
      <c r="Q3" s="21"/>
      <c r="R3" s="21"/>
      <c r="S3" s="21"/>
      <c r="T3" s="21"/>
      <c r="U3" s="21"/>
      <c r="V3" s="21"/>
      <c r="W3" s="21"/>
      <c r="X3" s="21"/>
      <c r="Y3" s="21"/>
      <c r="Z3" s="21"/>
      <c r="AA3" s="21"/>
    </row>
    <row r="4" spans="1:39">
      <c r="P4" s="283" t="s">
        <v>280</v>
      </c>
      <c r="Q4" s="284"/>
      <c r="R4" s="284"/>
      <c r="S4" s="285"/>
      <c r="T4" s="283" t="s">
        <v>24</v>
      </c>
      <c r="U4" s="284"/>
      <c r="V4" s="284"/>
      <c r="W4" s="285"/>
      <c r="X4" s="283" t="s">
        <v>71</v>
      </c>
      <c r="Y4" s="284"/>
      <c r="Z4" s="284"/>
      <c r="AA4" s="285"/>
      <c r="AB4" s="283" t="s">
        <v>281</v>
      </c>
      <c r="AC4" s="284"/>
      <c r="AD4" s="284"/>
      <c r="AE4" s="285"/>
      <c r="AF4" s="283" t="s">
        <v>282</v>
      </c>
      <c r="AG4" s="284"/>
      <c r="AH4" s="284"/>
      <c r="AI4" s="285"/>
      <c r="AJ4" s="283" t="s">
        <v>283</v>
      </c>
      <c r="AK4" s="284"/>
      <c r="AL4" s="284"/>
      <c r="AM4" s="285"/>
    </row>
    <row r="5" spans="1:39" ht="45">
      <c r="D5" s="46" t="s">
        <v>86</v>
      </c>
      <c r="F5" s="2"/>
      <c r="G5" s="2"/>
      <c r="H5" s="2"/>
      <c r="I5" s="2"/>
      <c r="J5" s="2"/>
      <c r="K5" s="2"/>
      <c r="N5" t="s">
        <v>11</v>
      </c>
      <c r="O5" s="22" t="s">
        <v>25</v>
      </c>
      <c r="P5" s="3" t="s">
        <v>15</v>
      </c>
      <c r="Q5" s="4" t="s">
        <v>14</v>
      </c>
      <c r="R5" s="4" t="s">
        <v>13</v>
      </c>
      <c r="S5" s="5" t="s">
        <v>12</v>
      </c>
      <c r="T5" s="3" t="s">
        <v>15</v>
      </c>
      <c r="U5" s="4" t="s">
        <v>14</v>
      </c>
      <c r="V5" s="4" t="s">
        <v>13</v>
      </c>
      <c r="W5" s="5" t="s">
        <v>12</v>
      </c>
      <c r="X5" s="3" t="s">
        <v>15</v>
      </c>
      <c r="Y5" s="4" t="s">
        <v>14</v>
      </c>
      <c r="Z5" s="4" t="s">
        <v>13</v>
      </c>
      <c r="AA5" s="5" t="s">
        <v>12</v>
      </c>
      <c r="AB5" s="3" t="s">
        <v>15</v>
      </c>
      <c r="AC5" s="4" t="s">
        <v>14</v>
      </c>
      <c r="AD5" s="4" t="s">
        <v>13</v>
      </c>
      <c r="AE5" s="5" t="s">
        <v>12</v>
      </c>
      <c r="AF5" s="3" t="s">
        <v>15</v>
      </c>
      <c r="AG5" s="4" t="s">
        <v>14</v>
      </c>
      <c r="AH5" s="4" t="s">
        <v>13</v>
      </c>
      <c r="AI5" s="5" t="s">
        <v>12</v>
      </c>
      <c r="AJ5" s="3" t="s">
        <v>15</v>
      </c>
      <c r="AK5" s="4" t="s">
        <v>14</v>
      </c>
      <c r="AL5" s="4" t="s">
        <v>13</v>
      </c>
      <c r="AM5" s="5" t="s">
        <v>12</v>
      </c>
    </row>
    <row r="6" spans="1:39">
      <c r="A6" s="293" t="s">
        <v>107</v>
      </c>
      <c r="B6" s="293"/>
      <c r="C6" s="293"/>
      <c r="E6" s="69" t="s">
        <v>272</v>
      </c>
      <c r="N6">
        <v>0</v>
      </c>
      <c r="O6">
        <f t="shared" ref="O6:O37" si="0">N6/Rcs</f>
        <v>0</v>
      </c>
      <c r="P6" s="6">
        <f t="shared" ref="P6:P37" si="1">IF($O6&lt;((V48_Min-V12_Nom)*V12_Nom)/((2*Lm*Fsw)*V48_Min),SQRT((2*$O6*Lm*Fsw*V12_Nom)/(V48_Min*(V48_Min-V12_Nom))),(V12_Nom/V48_Min))</f>
        <v>0</v>
      </c>
      <c r="Q6" s="1">
        <f t="shared" ref="Q6:Q37" si="2">IF($O6&lt;((V48_Min-V12_Nom)*V12_Nom)/((2*Lm*Fsw)*V48_Min),SQRT((2*$O6*Lm*Fsw*V12_Nom)/(V48_Min*(V48_Min-V12_Nom)))*((V48_Min-V12_Nom)/(V12_Nom)),1-(V12_Nom/V48_Min))</f>
        <v>0</v>
      </c>
      <c r="R6" s="1">
        <f t="shared" ref="R6:R37" si="3">IF($O6&lt;((V48_Min-V12_Nom)*V12_Nom)/((2*Lm*Fsw)*V48_Min),(P6/(Fsw*Lm))*(V48_Min-V12_Nom),((P6/(Fsw*Lm))*(V48_Min-V12_Nom)))</f>
        <v>0</v>
      </c>
      <c r="S6" s="7">
        <f t="shared" ref="S6:S37" si="4">IF($O6&lt;((V48_Min-V12_Nom)*V12_Nom)/((2*Lm*Fsw)*V48_Min),(P6/(Fsw*Lm))*(V48_Min-V12_Nom),(R6/2)+$O6)</f>
        <v>0</v>
      </c>
      <c r="T6" s="6">
        <f t="shared" ref="T6:T37" si="5">IF($O6&lt;((V48_Nom-V12_Nom)*V12_Nom)/((2*Lm*Fsw)*V48_Nom),SQRT((2*$O6*Lm*Fsw*V12_Nom)/(V48_Nom*(V48_Nom-V12_Nom))),(V12_Nom/V48_Nom))</f>
        <v>0</v>
      </c>
      <c r="U6" s="1">
        <f t="shared" ref="U6:U37" si="6">IF($O6&lt;((V48_Nom-V12_Nom)*V12_Nom)/((2*Lm*Fsw)*V48_Nom),SQRT((2*$O6*Lm*Fsw*V12_Nom)/(V48_Nom*(V48_Nom-V12_Nom)))*((V48_Nom-V12_Nom)/(V12_Nom)),1-(V12_Nom/V48_Nom))</f>
        <v>0</v>
      </c>
      <c r="V6" s="1">
        <f t="shared" ref="V6:V37" si="7">IF($O6&lt;((V48_Nom-V12_Nom)*V12_Nom)/((2*Lm*Fsw)*V48_Nom),(T6/(Fsw*Lm))*(V48_Nom-V12_Nom),((T6/(Fsw*Lm))*(V48_Nom-V12_Nom)))</f>
        <v>0</v>
      </c>
      <c r="W6" s="7">
        <f t="shared" ref="W6:W37" si="8">IF($O6&lt;((V48_Nom-V12_Nom)*V12_Nom)/((2*Lm*Fsw)*V48_Nom),(T6/(Fsw*Lm))*(V48_Nom-V12_Nom),(V6/2)+$O6)</f>
        <v>0</v>
      </c>
      <c r="X6" s="6">
        <f t="shared" ref="X6:X37" si="9">IF($O6&lt;((V48_Max-V12_Nom)*V12_Nom)/((2*Lm*Fsw)*V48_Max),SQRT((2*$O6*Lm*Fsw*V12_Nom)/(V48_Max*(V48_Max-V12_Nom))),(V12_Nom/V48_Max))</f>
        <v>0</v>
      </c>
      <c r="Y6" s="1">
        <f t="shared" ref="Y6:Y37" si="10">IF($O6&lt;((V48_Max-V12_Nom)*V12_Nom)/((2*Lm*Fsw)*V48_Max),SQRT((2*$O6*Lm*Fsw*V12_Nom)/(V48_Max*(V48_Max-V12_Nom)))*((V48_Max-V12_Nom)/(V12_Nom)),1-(V12_Nom/V48_Max))</f>
        <v>0</v>
      </c>
      <c r="Z6" s="1">
        <f t="shared" ref="Z6:Z37" si="11">IF($O6&lt;((V48_Max-V12_Nom)*V12_Nom)/((2*Lm*Fsw)*V48_Max),(X6/(Fsw*Lm))*(V48_Max-V12_Nom),((X6/(Fsw*Lm))*(V48_Max-V12_Nom)))</f>
        <v>0</v>
      </c>
      <c r="AA6" s="7">
        <f t="shared" ref="AA6:AA37" si="12">IF($O6&lt;((V48_Max-V12_Nom)*V12_Nom)/((2*Lm*Fsw)*V48_Max),(X6/(Fsw*Lm))*(V48_Max-V12_Nom),(Z6/2)+$O6)</f>
        <v>0</v>
      </c>
      <c r="AB6" s="6">
        <f t="shared" ref="AB6:AB37" si="13">IF($O6&lt;((V48_Nom-V12_Min)*V12_Min)/((2*Lm*Fsw)*V48_Nom),SQRT((2*$O6*Lm*Fsw*V12_Min)/(V48_Nom*(V48_Nom-V12_Min))),(V12_Min/V48_Nom))</f>
        <v>0</v>
      </c>
      <c r="AC6" s="1">
        <f t="shared" ref="AC6:AC37" si="14">IF($O6&lt;((V48_Nom-V12_Min)*V12_Min)/((2*Lm*Fsw)*V48_Nom),SQRT((2*$O6*Lm*Fsw*V12_Min)/(V48_Nom*(V48_Nom-V12_Min)))*((V48_Nom-V12_Min)/(V12_Min)),1-(V12_Min/V48_Nom))</f>
        <v>0</v>
      </c>
      <c r="AD6" s="1">
        <f t="shared" ref="AD6:AD37" si="15">IF($O6&lt;((V48_Nom-V12_Min)*V12_Min)/((2*Lm*Fsw)*V48_Nom),(AB6/(Fsw*Lm))*(V48_Nom-V12_Min),((AB6/(Fsw*Lm))*(V48_Nom-V12_Min)))</f>
        <v>0</v>
      </c>
      <c r="AE6" s="7">
        <f t="shared" ref="AE6:AE37" si="16">IF($O6&lt;((V48_Nom-V12_Min)*V12_Min)/((2*Lm*Fsw)*V48_Nom),(AB6/(Fsw*Lm))*(V48_Nom-V12_Min),(AD6/2)+$O6)</f>
        <v>0</v>
      </c>
      <c r="AF6" s="6">
        <f t="shared" ref="AF6:AF56" si="17">IF($O6&lt;((V48_Nom-V12_Nom)*V12_Nom)/((2*Lm*Fsw)*V48_Nom),SQRT((2*$O6*Lm*Fsw*V12_Nom)/(V48_Nom*(V48_Nom-V12_Nom))),(V12_Nom/V48_Nom))</f>
        <v>0</v>
      </c>
      <c r="AG6" s="1">
        <f t="shared" ref="AG6:AG56" si="18">IF($O6&lt;((V48_Nom-V12_Nom)*V12_Nom)/((2*Lm*Fsw)*V48_Nom),SQRT((2*$O6*Lm*Fsw*V12_Nom)/(V48_Nom*(V48_Nom-V12_Nom)))*((V48_Nom-V12_Nom)/(V12_Nom)),1-(V12_Nom/V48_Nom))</f>
        <v>0</v>
      </c>
      <c r="AH6" s="1">
        <f>IF($O6&lt;((V48_Nom-V12_Nom)*V12_Nom)/((2*Lm*Fsw)*V48_Nom),(AF6/(Fsw*Lm))*(V48_Nom-V12_Nom),((AF6/(Fsw*Lm))*(V48_Nom-V12_Nom)))</f>
        <v>0</v>
      </c>
      <c r="AI6" s="7">
        <f>IF($O6&lt;((V48_Nom-V12_Nom)*V12_Nom)/((2*Lm*Fsw)*V48_Nom),(AF6/(Fsw*Lm))*(V48_Nom-V12_Nom),(AH6/2)+$O6)</f>
        <v>0</v>
      </c>
      <c r="AJ6" s="6">
        <f t="shared" ref="AJ6:AJ37" si="19">IF($O6&lt;((V48_Nom-V12_Max)*V12_Max)/((2*Lm*Fsw)*V48_Nom),SQRT((2*$O6*Lm*Fsw*V12_Max)/(V48_Nom*(V48_Nom-V12_Max))),(V12_Max/V48_Nom))</f>
        <v>0</v>
      </c>
      <c r="AK6" s="1">
        <f t="shared" ref="AK6:AK37" si="20">IF($O6&lt;((V48_Nom-V12_Max)*V12_Max)/((2*Lm*Fsw)*V48_Nom),SQRT((2*$O6*Lm*Fsw*V12_Max)/(V48_Nom*(V48_Nom-V12_Max)))*((V48_Nom-V12_Max)/(V12_Max)),1-(V12_Max/V48_Nom))</f>
        <v>0</v>
      </c>
      <c r="AL6" s="1">
        <f t="shared" ref="AL6:AL37" si="21">IF($O6&lt;((V48_Nom-V12_Max)*V12_Max)/((2*Lm*Fsw)*V48_Nom),(AJ6/(Fsw*Lm))*(V48_Nom-V12_Max),((AJ6/(Fsw*Lm))*(V48_Nom-V12_Max)))</f>
        <v>0</v>
      </c>
      <c r="AM6" s="7">
        <f t="shared" ref="AM6:AM37" si="22">IF($O6&lt;((V48_Nom-V12_Max)*V12_Max)/((2*Lm*Fsw)*V48_Nom),(AJ6/(Fsw*Lm))*(V48_Nom-V12_Max),(AL6/2)+$O6)</f>
        <v>0</v>
      </c>
    </row>
    <row r="7" spans="1:39">
      <c r="A7" s="33" t="s">
        <v>99</v>
      </c>
      <c r="B7" s="47">
        <f>Design_Converter!B11</f>
        <v>50</v>
      </c>
      <c r="C7" s="33" t="s">
        <v>1</v>
      </c>
      <c r="D7" s="36">
        <f>IF(OR(B7&lt;Constants!B38,B7&gt;Constants!D38),1,0)</f>
        <v>0</v>
      </c>
      <c r="E7" s="36" t="s">
        <v>108</v>
      </c>
      <c r="I7" s="38"/>
      <c r="J7" t="s">
        <v>115</v>
      </c>
      <c r="N7">
        <v>1E-3</v>
      </c>
      <c r="O7">
        <f t="shared" si="0"/>
        <v>1</v>
      </c>
      <c r="P7" s="6">
        <f t="shared" si="1"/>
        <v>0.16918379914973194</v>
      </c>
      <c r="Q7" s="1">
        <f t="shared" si="2"/>
        <v>0.53574869730748442</v>
      </c>
      <c r="R7" s="1">
        <f t="shared" si="3"/>
        <v>2.8371510890069787</v>
      </c>
      <c r="S7" s="7">
        <f t="shared" si="4"/>
        <v>2.8371510890069787</v>
      </c>
      <c r="T7" s="6">
        <f t="shared" si="5"/>
        <v>0.15164217367608954</v>
      </c>
      <c r="U7" s="1">
        <f t="shared" si="6"/>
        <v>0.54338445567265414</v>
      </c>
      <c r="V7" s="1">
        <f t="shared" si="7"/>
        <v>2.8775875852038171</v>
      </c>
      <c r="W7" s="7">
        <f t="shared" si="8"/>
        <v>2.8775875852038171</v>
      </c>
      <c r="X7" s="6">
        <f t="shared" si="9"/>
        <v>0.12352837430833152</v>
      </c>
      <c r="Y7" s="1">
        <f t="shared" si="10"/>
        <v>0.55587768438749185</v>
      </c>
      <c r="Z7" s="1">
        <f t="shared" si="11"/>
        <v>2.9437476666592683</v>
      </c>
      <c r="AA7" s="7">
        <f t="shared" si="12"/>
        <v>2.9437476666592683</v>
      </c>
      <c r="AB7" s="6">
        <f t="shared" si="13"/>
        <v>0.1353185542012296</v>
      </c>
      <c r="AC7" s="1">
        <f t="shared" si="14"/>
        <v>0.6089334939055332</v>
      </c>
      <c r="AD7" s="1">
        <f t="shared" si="15"/>
        <v>2.6872616677207994</v>
      </c>
      <c r="AE7" s="7">
        <f t="shared" si="16"/>
        <v>2.6872616677207994</v>
      </c>
      <c r="AF7" s="6">
        <f t="shared" si="17"/>
        <v>0.15164217367608954</v>
      </c>
      <c r="AG7" s="1">
        <f t="shared" si="18"/>
        <v>0.54338445567265414</v>
      </c>
      <c r="AH7" s="1">
        <f t="shared" ref="AH7:AH56" si="23">IF($O7&lt;((V48_Nom-V12_Nom)*V12_Nom)/((2*Lm*Fsw)*V48_Nom),(AF7/(Fsw*Lm))*(V48_Nom-V12_Nom),((AF7/(Fsw*Lm))*(V48_Nom-V12_Nom)))</f>
        <v>2.8775875852038171</v>
      </c>
      <c r="AI7" s="7">
        <f t="shared" ref="AI7:AI56" si="24">IF($O7&lt;((V48_Nom-V12_Nom)*V12_Nom)/((2*Lm*Fsw)*V48_Nom),(AF7/(Fsw*Lm))*(V48_Nom-V12_Nom),(AH7/2)+$O7)</f>
        <v>2.8775875852038171</v>
      </c>
      <c r="AJ7" s="6">
        <f t="shared" si="19"/>
        <v>0.15970210363286361</v>
      </c>
      <c r="AK7" s="1">
        <f t="shared" si="20"/>
        <v>0.51596064250617479</v>
      </c>
      <c r="AL7" s="1">
        <f t="shared" si="21"/>
        <v>2.9600566427980013</v>
      </c>
      <c r="AM7" s="7">
        <f t="shared" si="22"/>
        <v>2.9600566427980013</v>
      </c>
    </row>
    <row r="8" spans="1:39">
      <c r="A8" s="33" t="s">
        <v>100</v>
      </c>
      <c r="B8" s="47">
        <f>Design_Converter!B12</f>
        <v>55</v>
      </c>
      <c r="C8" s="33" t="s">
        <v>1</v>
      </c>
      <c r="D8" s="36">
        <f>IF(OR(B8&lt;Constants!B38,B8&gt;Constants!D38),1,0)</f>
        <v>0</v>
      </c>
      <c r="E8" s="36" t="s">
        <v>109</v>
      </c>
      <c r="I8" s="39"/>
      <c r="J8" t="s">
        <v>116</v>
      </c>
      <c r="N8">
        <v>2E-3</v>
      </c>
      <c r="O8">
        <f t="shared" si="0"/>
        <v>2</v>
      </c>
      <c r="P8" s="6">
        <f t="shared" si="1"/>
        <v>0.23926202329135665</v>
      </c>
      <c r="Q8" s="1">
        <f t="shared" si="2"/>
        <v>0.75766307375596265</v>
      </c>
      <c r="R8" s="1">
        <f t="shared" si="3"/>
        <v>4.0123375485752657</v>
      </c>
      <c r="S8" s="7">
        <f t="shared" si="4"/>
        <v>4.0123375485752657</v>
      </c>
      <c r="T8" s="6">
        <f t="shared" si="5"/>
        <v>0.21445441864046216</v>
      </c>
      <c r="U8" s="1">
        <f t="shared" si="6"/>
        <v>0.7684616667949894</v>
      </c>
      <c r="V8" s="1">
        <f t="shared" si="7"/>
        <v>4.0695233899116827</v>
      </c>
      <c r="W8" s="7">
        <f t="shared" si="8"/>
        <v>4.0695233899116827</v>
      </c>
      <c r="X8" s="6">
        <f t="shared" si="9"/>
        <v>0.17469550228474262</v>
      </c>
      <c r="Y8" s="1">
        <f t="shared" si="10"/>
        <v>0.78612976028134174</v>
      </c>
      <c r="Z8" s="1">
        <f t="shared" si="11"/>
        <v>4.1630878743936899</v>
      </c>
      <c r="AA8" s="7">
        <f t="shared" si="12"/>
        <v>4.1630878743936899</v>
      </c>
      <c r="AB8" s="6">
        <f t="shared" si="13"/>
        <v>0.18181818181818182</v>
      </c>
      <c r="AC8" s="1">
        <f t="shared" si="14"/>
        <v>0.81818181818181812</v>
      </c>
      <c r="AD8" s="1">
        <f t="shared" si="15"/>
        <v>3.6106876354007862</v>
      </c>
      <c r="AE8" s="7">
        <f t="shared" si="16"/>
        <v>3.8053438177003933</v>
      </c>
      <c r="AF8" s="6">
        <f t="shared" si="17"/>
        <v>0.21445441864046216</v>
      </c>
      <c r="AG8" s="1">
        <f t="shared" si="18"/>
        <v>0.7684616667949894</v>
      </c>
      <c r="AH8" s="1">
        <f t="shared" si="23"/>
        <v>4.0695233899116827</v>
      </c>
      <c r="AI8" s="7">
        <f t="shared" si="24"/>
        <v>4.0695233899116827</v>
      </c>
      <c r="AJ8" s="6">
        <f t="shared" si="19"/>
        <v>0.22585288089710923</v>
      </c>
      <c r="AK8" s="1">
        <f t="shared" si="20"/>
        <v>0.72967853828296825</v>
      </c>
      <c r="AL8" s="1">
        <f t="shared" si="21"/>
        <v>4.1861522496375052</v>
      </c>
      <c r="AM8" s="7">
        <f t="shared" si="22"/>
        <v>4.1861522496375052</v>
      </c>
    </row>
    <row r="9" spans="1:39">
      <c r="A9" s="33" t="s">
        <v>101</v>
      </c>
      <c r="B9" s="47">
        <f>Design_Converter!B13</f>
        <v>66</v>
      </c>
      <c r="C9" s="33" t="s">
        <v>1</v>
      </c>
      <c r="D9" s="36">
        <f>IF(OR(B9&lt;Constants!B38,B9&gt;Constants!D38),1,0)</f>
        <v>0</v>
      </c>
      <c r="E9" s="36" t="s">
        <v>114</v>
      </c>
      <c r="I9" s="40"/>
      <c r="J9" t="s">
        <v>126</v>
      </c>
      <c r="N9">
        <v>3.0000000000000001E-3</v>
      </c>
      <c r="O9">
        <f t="shared" si="0"/>
        <v>3</v>
      </c>
      <c r="P9" s="6">
        <f t="shared" si="1"/>
        <v>0.24</v>
      </c>
      <c r="Q9" s="1">
        <f t="shared" si="2"/>
        <v>0.76</v>
      </c>
      <c r="R9" s="1">
        <f t="shared" si="3"/>
        <v>4.0247131509267424</v>
      </c>
      <c r="S9" s="7">
        <f t="shared" si="4"/>
        <v>5.0123565754633717</v>
      </c>
      <c r="T9" s="6">
        <f t="shared" si="5"/>
        <v>0.21818181818181817</v>
      </c>
      <c r="U9" s="1">
        <f t="shared" si="6"/>
        <v>0.78181818181818186</v>
      </c>
      <c r="V9" s="1">
        <f t="shared" si="7"/>
        <v>4.1402551552595686</v>
      </c>
      <c r="W9" s="7">
        <f t="shared" si="8"/>
        <v>5.0701275776297843</v>
      </c>
      <c r="X9" s="6">
        <f t="shared" si="9"/>
        <v>0.18181818181818182</v>
      </c>
      <c r="Y9" s="1">
        <f t="shared" si="10"/>
        <v>0.81818181818181812</v>
      </c>
      <c r="Z9" s="1">
        <f t="shared" si="11"/>
        <v>4.332825162480944</v>
      </c>
      <c r="AA9" s="7">
        <f t="shared" si="12"/>
        <v>5.166412581240472</v>
      </c>
      <c r="AB9" s="6">
        <f t="shared" si="13"/>
        <v>0.18181818181818182</v>
      </c>
      <c r="AC9" s="1">
        <f t="shared" si="14"/>
        <v>0.81818181818181812</v>
      </c>
      <c r="AD9" s="1">
        <f t="shared" si="15"/>
        <v>3.6106876354007862</v>
      </c>
      <c r="AE9" s="7">
        <f t="shared" si="16"/>
        <v>4.8053438177003933</v>
      </c>
      <c r="AF9" s="6">
        <f t="shared" si="17"/>
        <v>0.21818181818181817</v>
      </c>
      <c r="AG9" s="1">
        <f t="shared" si="18"/>
        <v>0.78181818181818186</v>
      </c>
      <c r="AH9" s="1">
        <f t="shared" si="23"/>
        <v>4.1402551552595686</v>
      </c>
      <c r="AI9" s="7">
        <f t="shared" si="24"/>
        <v>5.0701275776297843</v>
      </c>
      <c r="AJ9" s="6">
        <f t="shared" si="19"/>
        <v>0.23636363636363636</v>
      </c>
      <c r="AK9" s="1">
        <f t="shared" si="20"/>
        <v>0.76363636363636367</v>
      </c>
      <c r="AL9" s="1">
        <f t="shared" si="21"/>
        <v>4.3809676642862874</v>
      </c>
      <c r="AM9" s="7">
        <f t="shared" si="22"/>
        <v>5.1904838321431441</v>
      </c>
    </row>
    <row r="10" spans="1:39">
      <c r="A10" s="293" t="s">
        <v>110</v>
      </c>
      <c r="B10" s="293"/>
      <c r="C10" s="293"/>
      <c r="I10" s="41"/>
      <c r="J10" t="s">
        <v>133</v>
      </c>
      <c r="N10">
        <v>4.0000000000000001E-3</v>
      </c>
      <c r="O10">
        <f t="shared" si="0"/>
        <v>4</v>
      </c>
      <c r="P10" s="6">
        <f t="shared" si="1"/>
        <v>0.24</v>
      </c>
      <c r="Q10" s="1">
        <f t="shared" si="2"/>
        <v>0.76</v>
      </c>
      <c r="R10" s="1">
        <f t="shared" si="3"/>
        <v>4.0247131509267424</v>
      </c>
      <c r="S10" s="7">
        <f t="shared" si="4"/>
        <v>6.0123565754633717</v>
      </c>
      <c r="T10" s="6">
        <f t="shared" si="5"/>
        <v>0.21818181818181817</v>
      </c>
      <c r="U10" s="1">
        <f t="shared" si="6"/>
        <v>0.78181818181818186</v>
      </c>
      <c r="V10" s="1">
        <f t="shared" si="7"/>
        <v>4.1402551552595686</v>
      </c>
      <c r="W10" s="7">
        <f t="shared" si="8"/>
        <v>6.0701275776297843</v>
      </c>
      <c r="X10" s="6">
        <f t="shared" si="9"/>
        <v>0.18181818181818182</v>
      </c>
      <c r="Y10" s="1">
        <f t="shared" si="10"/>
        <v>0.81818181818181812</v>
      </c>
      <c r="Z10" s="1">
        <f t="shared" si="11"/>
        <v>4.332825162480944</v>
      </c>
      <c r="AA10" s="7">
        <f t="shared" si="12"/>
        <v>6.166412581240472</v>
      </c>
      <c r="AB10" s="6">
        <f t="shared" si="13"/>
        <v>0.18181818181818182</v>
      </c>
      <c r="AC10" s="1">
        <f t="shared" si="14"/>
        <v>0.81818181818181812</v>
      </c>
      <c r="AD10" s="1">
        <f t="shared" si="15"/>
        <v>3.6106876354007862</v>
      </c>
      <c r="AE10" s="7">
        <f t="shared" si="16"/>
        <v>5.8053438177003933</v>
      </c>
      <c r="AF10" s="6">
        <f t="shared" si="17"/>
        <v>0.21818181818181817</v>
      </c>
      <c r="AG10" s="1">
        <f t="shared" si="18"/>
        <v>0.78181818181818186</v>
      </c>
      <c r="AH10" s="1">
        <f t="shared" si="23"/>
        <v>4.1402551552595686</v>
      </c>
      <c r="AI10" s="7">
        <f t="shared" si="24"/>
        <v>6.0701275776297843</v>
      </c>
      <c r="AJ10" s="6">
        <f t="shared" si="19"/>
        <v>0.23636363636363636</v>
      </c>
      <c r="AK10" s="1">
        <f t="shared" si="20"/>
        <v>0.76363636363636367</v>
      </c>
      <c r="AL10" s="1">
        <f t="shared" si="21"/>
        <v>4.3809676642862874</v>
      </c>
      <c r="AM10" s="7">
        <f t="shared" si="22"/>
        <v>6.1904838321431441</v>
      </c>
    </row>
    <row r="11" spans="1:39">
      <c r="A11" s="33" t="s">
        <v>72</v>
      </c>
      <c r="B11" s="47">
        <f>Design_Converter!B16</f>
        <v>10</v>
      </c>
      <c r="C11" s="33" t="s">
        <v>1</v>
      </c>
      <c r="D11" s="36">
        <f>IF(OR(B11&lt;Constants!B36,B11&gt;Constants!D36),1,0)</f>
        <v>0</v>
      </c>
      <c r="E11" s="36" t="s">
        <v>111</v>
      </c>
      <c r="N11">
        <v>5.0000000000000001E-3</v>
      </c>
      <c r="O11">
        <f t="shared" si="0"/>
        <v>5</v>
      </c>
      <c r="P11" s="6">
        <f t="shared" si="1"/>
        <v>0.24</v>
      </c>
      <c r="Q11" s="1">
        <f t="shared" si="2"/>
        <v>0.76</v>
      </c>
      <c r="R11" s="1">
        <f t="shared" si="3"/>
        <v>4.0247131509267424</v>
      </c>
      <c r="S11" s="7">
        <f t="shared" si="4"/>
        <v>7.0123565754633717</v>
      </c>
      <c r="T11" s="6">
        <f t="shared" si="5"/>
        <v>0.21818181818181817</v>
      </c>
      <c r="U11" s="1">
        <f t="shared" si="6"/>
        <v>0.78181818181818186</v>
      </c>
      <c r="V11" s="1">
        <f t="shared" si="7"/>
        <v>4.1402551552595686</v>
      </c>
      <c r="W11" s="7">
        <f t="shared" si="8"/>
        <v>7.0701275776297843</v>
      </c>
      <c r="X11" s="6">
        <f t="shared" si="9"/>
        <v>0.18181818181818182</v>
      </c>
      <c r="Y11" s="1">
        <f t="shared" si="10"/>
        <v>0.81818181818181812</v>
      </c>
      <c r="Z11" s="1">
        <f t="shared" si="11"/>
        <v>4.332825162480944</v>
      </c>
      <c r="AA11" s="7">
        <f t="shared" si="12"/>
        <v>7.166412581240472</v>
      </c>
      <c r="AB11" s="6">
        <f t="shared" si="13"/>
        <v>0.18181818181818182</v>
      </c>
      <c r="AC11" s="1">
        <f t="shared" si="14"/>
        <v>0.81818181818181812</v>
      </c>
      <c r="AD11" s="1">
        <f t="shared" si="15"/>
        <v>3.6106876354007862</v>
      </c>
      <c r="AE11" s="7">
        <f t="shared" si="16"/>
        <v>6.8053438177003933</v>
      </c>
      <c r="AF11" s="6">
        <f t="shared" si="17"/>
        <v>0.21818181818181817</v>
      </c>
      <c r="AG11" s="1">
        <f t="shared" si="18"/>
        <v>0.78181818181818186</v>
      </c>
      <c r="AH11" s="1">
        <f t="shared" si="23"/>
        <v>4.1402551552595686</v>
      </c>
      <c r="AI11" s="7">
        <f t="shared" si="24"/>
        <v>7.0701275776297843</v>
      </c>
      <c r="AJ11" s="6">
        <f t="shared" si="19"/>
        <v>0.23636363636363636</v>
      </c>
      <c r="AK11" s="1">
        <f t="shared" si="20"/>
        <v>0.76363636363636367</v>
      </c>
      <c r="AL11" s="1">
        <f t="shared" si="21"/>
        <v>4.3809676642862874</v>
      </c>
      <c r="AM11" s="7">
        <f t="shared" si="22"/>
        <v>7.1904838321431441</v>
      </c>
    </row>
    <row r="12" spans="1:39">
      <c r="A12" s="33" t="s">
        <v>73</v>
      </c>
      <c r="B12" s="47">
        <f>Design_Converter!B17</f>
        <v>12</v>
      </c>
      <c r="C12" s="33" t="s">
        <v>1</v>
      </c>
      <c r="D12" s="36">
        <f>IF(OR(B12&lt;Constants!B36,B12&gt;Constants!D36),1,0)</f>
        <v>0</v>
      </c>
      <c r="E12" s="36" t="s">
        <v>112</v>
      </c>
      <c r="N12">
        <v>6.0000000000000001E-3</v>
      </c>
      <c r="O12">
        <f t="shared" si="0"/>
        <v>6</v>
      </c>
      <c r="P12" s="6">
        <f t="shared" si="1"/>
        <v>0.24</v>
      </c>
      <c r="Q12" s="1">
        <f t="shared" si="2"/>
        <v>0.76</v>
      </c>
      <c r="R12" s="1">
        <f t="shared" si="3"/>
        <v>4.0247131509267424</v>
      </c>
      <c r="S12" s="7">
        <f t="shared" si="4"/>
        <v>8.0123565754633717</v>
      </c>
      <c r="T12" s="6">
        <f t="shared" si="5"/>
        <v>0.21818181818181817</v>
      </c>
      <c r="U12" s="1">
        <f t="shared" si="6"/>
        <v>0.78181818181818186</v>
      </c>
      <c r="V12" s="1">
        <f t="shared" si="7"/>
        <v>4.1402551552595686</v>
      </c>
      <c r="W12" s="7">
        <f t="shared" si="8"/>
        <v>8.0701275776297834</v>
      </c>
      <c r="X12" s="6">
        <f t="shared" si="9"/>
        <v>0.18181818181818182</v>
      </c>
      <c r="Y12" s="1">
        <f t="shared" si="10"/>
        <v>0.81818181818181812</v>
      </c>
      <c r="Z12" s="1">
        <f t="shared" si="11"/>
        <v>4.332825162480944</v>
      </c>
      <c r="AA12" s="7">
        <f t="shared" si="12"/>
        <v>8.166412581240472</v>
      </c>
      <c r="AB12" s="6">
        <f t="shared" si="13"/>
        <v>0.18181818181818182</v>
      </c>
      <c r="AC12" s="1">
        <f t="shared" si="14"/>
        <v>0.81818181818181812</v>
      </c>
      <c r="AD12" s="1">
        <f t="shared" si="15"/>
        <v>3.6106876354007862</v>
      </c>
      <c r="AE12" s="7">
        <f t="shared" si="16"/>
        <v>7.8053438177003933</v>
      </c>
      <c r="AF12" s="6">
        <f t="shared" si="17"/>
        <v>0.21818181818181817</v>
      </c>
      <c r="AG12" s="1">
        <f t="shared" si="18"/>
        <v>0.78181818181818186</v>
      </c>
      <c r="AH12" s="1">
        <f t="shared" si="23"/>
        <v>4.1402551552595686</v>
      </c>
      <c r="AI12" s="7">
        <f t="shared" si="24"/>
        <v>8.0701275776297834</v>
      </c>
      <c r="AJ12" s="6">
        <f t="shared" si="19"/>
        <v>0.23636363636363636</v>
      </c>
      <c r="AK12" s="1">
        <f t="shared" si="20"/>
        <v>0.76363636363636367</v>
      </c>
      <c r="AL12" s="1">
        <f t="shared" si="21"/>
        <v>4.3809676642862874</v>
      </c>
      <c r="AM12" s="7">
        <f t="shared" si="22"/>
        <v>8.1904838321431441</v>
      </c>
    </row>
    <row r="13" spans="1:39">
      <c r="A13" s="33" t="s">
        <v>74</v>
      </c>
      <c r="B13" s="47">
        <f>Design_Converter!B18</f>
        <v>13</v>
      </c>
      <c r="C13" s="33" t="s">
        <v>1</v>
      </c>
      <c r="D13" s="36">
        <f>IF(OR(B13&lt;Constants!B36,B13&gt;Constants!D36),1,0)</f>
        <v>0</v>
      </c>
      <c r="E13" s="36" t="s">
        <v>113</v>
      </c>
      <c r="N13">
        <v>7.0000000000000001E-3</v>
      </c>
      <c r="O13">
        <f t="shared" si="0"/>
        <v>7</v>
      </c>
      <c r="P13" s="6">
        <f t="shared" si="1"/>
        <v>0.24</v>
      </c>
      <c r="Q13" s="1">
        <f t="shared" si="2"/>
        <v>0.76</v>
      </c>
      <c r="R13" s="1">
        <f t="shared" si="3"/>
        <v>4.0247131509267424</v>
      </c>
      <c r="S13" s="7">
        <f t="shared" si="4"/>
        <v>9.0123565754633717</v>
      </c>
      <c r="T13" s="6">
        <f t="shared" si="5"/>
        <v>0.21818181818181817</v>
      </c>
      <c r="U13" s="1">
        <f t="shared" si="6"/>
        <v>0.78181818181818186</v>
      </c>
      <c r="V13" s="1">
        <f t="shared" si="7"/>
        <v>4.1402551552595686</v>
      </c>
      <c r="W13" s="7">
        <f t="shared" si="8"/>
        <v>9.0701275776297834</v>
      </c>
      <c r="X13" s="6">
        <f t="shared" si="9"/>
        <v>0.18181818181818182</v>
      </c>
      <c r="Y13" s="1">
        <f t="shared" si="10"/>
        <v>0.81818181818181812</v>
      </c>
      <c r="Z13" s="1">
        <f t="shared" si="11"/>
        <v>4.332825162480944</v>
      </c>
      <c r="AA13" s="7">
        <f t="shared" si="12"/>
        <v>9.166412581240472</v>
      </c>
      <c r="AB13" s="6">
        <f t="shared" si="13"/>
        <v>0.18181818181818182</v>
      </c>
      <c r="AC13" s="1">
        <f t="shared" si="14"/>
        <v>0.81818181818181812</v>
      </c>
      <c r="AD13" s="1">
        <f t="shared" si="15"/>
        <v>3.6106876354007862</v>
      </c>
      <c r="AE13" s="7">
        <f t="shared" si="16"/>
        <v>8.8053438177003933</v>
      </c>
      <c r="AF13" s="6">
        <f t="shared" si="17"/>
        <v>0.21818181818181817</v>
      </c>
      <c r="AG13" s="1">
        <f t="shared" si="18"/>
        <v>0.78181818181818186</v>
      </c>
      <c r="AH13" s="1">
        <f t="shared" si="23"/>
        <v>4.1402551552595686</v>
      </c>
      <c r="AI13" s="7">
        <f t="shared" si="24"/>
        <v>9.0701275776297834</v>
      </c>
      <c r="AJ13" s="6">
        <f t="shared" si="19"/>
        <v>0.23636363636363636</v>
      </c>
      <c r="AK13" s="1">
        <f t="shared" si="20"/>
        <v>0.76363636363636367</v>
      </c>
      <c r="AL13" s="1">
        <f t="shared" si="21"/>
        <v>4.3809676642862874</v>
      </c>
      <c r="AM13" s="7">
        <f t="shared" si="22"/>
        <v>9.1904838321431441</v>
      </c>
    </row>
    <row r="14" spans="1:39">
      <c r="A14" s="293" t="s">
        <v>82</v>
      </c>
      <c r="B14" s="293"/>
      <c r="C14" s="293"/>
      <c r="N14">
        <v>8.0000000000000002E-3</v>
      </c>
      <c r="O14">
        <f t="shared" si="0"/>
        <v>8</v>
      </c>
      <c r="P14" s="6">
        <f t="shared" si="1"/>
        <v>0.24</v>
      </c>
      <c r="Q14" s="1">
        <f t="shared" si="2"/>
        <v>0.76</v>
      </c>
      <c r="R14" s="1">
        <f t="shared" si="3"/>
        <v>4.0247131509267424</v>
      </c>
      <c r="S14" s="7">
        <f t="shared" si="4"/>
        <v>10.012356575463372</v>
      </c>
      <c r="T14" s="6">
        <f t="shared" si="5"/>
        <v>0.21818181818181817</v>
      </c>
      <c r="U14" s="1">
        <f t="shared" si="6"/>
        <v>0.78181818181818186</v>
      </c>
      <c r="V14" s="1">
        <f t="shared" si="7"/>
        <v>4.1402551552595686</v>
      </c>
      <c r="W14" s="7">
        <f t="shared" si="8"/>
        <v>10.070127577629783</v>
      </c>
      <c r="X14" s="6">
        <f t="shared" si="9"/>
        <v>0.18181818181818182</v>
      </c>
      <c r="Y14" s="1">
        <f t="shared" si="10"/>
        <v>0.81818181818181812</v>
      </c>
      <c r="Z14" s="1">
        <f t="shared" si="11"/>
        <v>4.332825162480944</v>
      </c>
      <c r="AA14" s="7">
        <f t="shared" si="12"/>
        <v>10.166412581240472</v>
      </c>
      <c r="AB14" s="6">
        <f t="shared" si="13"/>
        <v>0.18181818181818182</v>
      </c>
      <c r="AC14" s="1">
        <f t="shared" si="14"/>
        <v>0.81818181818181812</v>
      </c>
      <c r="AD14" s="1">
        <f t="shared" si="15"/>
        <v>3.6106876354007862</v>
      </c>
      <c r="AE14" s="7">
        <f t="shared" si="16"/>
        <v>9.8053438177003933</v>
      </c>
      <c r="AF14" s="6">
        <f t="shared" si="17"/>
        <v>0.21818181818181817</v>
      </c>
      <c r="AG14" s="1">
        <f t="shared" si="18"/>
        <v>0.78181818181818186</v>
      </c>
      <c r="AH14" s="1">
        <f t="shared" si="23"/>
        <v>4.1402551552595686</v>
      </c>
      <c r="AI14" s="7">
        <f t="shared" si="24"/>
        <v>10.070127577629783</v>
      </c>
      <c r="AJ14" s="6">
        <f t="shared" si="19"/>
        <v>0.23636363636363636</v>
      </c>
      <c r="AK14" s="1">
        <f t="shared" si="20"/>
        <v>0.76363636363636367</v>
      </c>
      <c r="AL14" s="1">
        <f t="shared" si="21"/>
        <v>4.3809676642862874</v>
      </c>
      <c r="AM14" s="7">
        <f t="shared" si="22"/>
        <v>10.190483832143144</v>
      </c>
    </row>
    <row r="15" spans="1:39">
      <c r="A15" s="33" t="s">
        <v>117</v>
      </c>
      <c r="B15" s="47">
        <f>Design_Converter!B21*1000</f>
        <v>103000</v>
      </c>
      <c r="C15" s="33" t="s">
        <v>83</v>
      </c>
      <c r="D15" s="36">
        <f>IF(OR(B15&lt;Constants!B39,B15&gt;Constants!D39),1,0)</f>
        <v>0</v>
      </c>
      <c r="E15" s="36" t="s">
        <v>118</v>
      </c>
      <c r="N15">
        <v>8.9999999999999993E-3</v>
      </c>
      <c r="O15">
        <f t="shared" si="0"/>
        <v>9</v>
      </c>
      <c r="P15" s="6">
        <f t="shared" si="1"/>
        <v>0.24</v>
      </c>
      <c r="Q15" s="1">
        <f t="shared" si="2"/>
        <v>0.76</v>
      </c>
      <c r="R15" s="1">
        <f t="shared" si="3"/>
        <v>4.0247131509267424</v>
      </c>
      <c r="S15" s="7">
        <f t="shared" si="4"/>
        <v>11.012356575463372</v>
      </c>
      <c r="T15" s="6">
        <f t="shared" si="5"/>
        <v>0.21818181818181817</v>
      </c>
      <c r="U15" s="1">
        <f t="shared" si="6"/>
        <v>0.78181818181818186</v>
      </c>
      <c r="V15" s="1">
        <f t="shared" si="7"/>
        <v>4.1402551552595686</v>
      </c>
      <c r="W15" s="7">
        <f t="shared" si="8"/>
        <v>11.070127577629783</v>
      </c>
      <c r="X15" s="6">
        <f t="shared" si="9"/>
        <v>0.18181818181818182</v>
      </c>
      <c r="Y15" s="1">
        <f t="shared" si="10"/>
        <v>0.81818181818181812</v>
      </c>
      <c r="Z15" s="1">
        <f t="shared" si="11"/>
        <v>4.332825162480944</v>
      </c>
      <c r="AA15" s="7">
        <f t="shared" si="12"/>
        <v>11.166412581240472</v>
      </c>
      <c r="AB15" s="6">
        <f t="shared" si="13"/>
        <v>0.18181818181818182</v>
      </c>
      <c r="AC15" s="1">
        <f t="shared" si="14"/>
        <v>0.81818181818181812</v>
      </c>
      <c r="AD15" s="1">
        <f t="shared" si="15"/>
        <v>3.6106876354007862</v>
      </c>
      <c r="AE15" s="7">
        <f t="shared" si="16"/>
        <v>10.805343817700393</v>
      </c>
      <c r="AF15" s="6">
        <f t="shared" si="17"/>
        <v>0.21818181818181817</v>
      </c>
      <c r="AG15" s="1">
        <f t="shared" si="18"/>
        <v>0.78181818181818186</v>
      </c>
      <c r="AH15" s="1">
        <f t="shared" si="23"/>
        <v>4.1402551552595686</v>
      </c>
      <c r="AI15" s="7">
        <f t="shared" si="24"/>
        <v>11.070127577629783</v>
      </c>
      <c r="AJ15" s="6">
        <f t="shared" si="19"/>
        <v>0.23636363636363636</v>
      </c>
      <c r="AK15" s="1">
        <f t="shared" si="20"/>
        <v>0.76363636363636367</v>
      </c>
      <c r="AL15" s="1">
        <f t="shared" si="21"/>
        <v>4.3809676642862874</v>
      </c>
      <c r="AM15" s="7">
        <f t="shared" si="22"/>
        <v>11.190483832143144</v>
      </c>
    </row>
    <row r="16" spans="1:39">
      <c r="A16" s="33" t="s">
        <v>137</v>
      </c>
      <c r="B16" s="48">
        <f>Constants!C17/(Fsw*1000)</f>
        <v>40.291262135922338</v>
      </c>
      <c r="C16" s="33" t="s">
        <v>39</v>
      </c>
      <c r="D16" s="36" t="s">
        <v>94</v>
      </c>
      <c r="E16" s="36" t="s">
        <v>138</v>
      </c>
      <c r="N16">
        <v>0.01</v>
      </c>
      <c r="O16">
        <f t="shared" si="0"/>
        <v>10</v>
      </c>
      <c r="P16" s="6">
        <f t="shared" si="1"/>
        <v>0.24</v>
      </c>
      <c r="Q16" s="1">
        <f t="shared" si="2"/>
        <v>0.76</v>
      </c>
      <c r="R16" s="1">
        <f t="shared" si="3"/>
        <v>4.0247131509267424</v>
      </c>
      <c r="S16" s="7">
        <f t="shared" si="4"/>
        <v>12.012356575463372</v>
      </c>
      <c r="T16" s="6">
        <f t="shared" si="5"/>
        <v>0.21818181818181817</v>
      </c>
      <c r="U16" s="1">
        <f t="shared" si="6"/>
        <v>0.78181818181818186</v>
      </c>
      <c r="V16" s="1">
        <f t="shared" si="7"/>
        <v>4.1402551552595686</v>
      </c>
      <c r="W16" s="7">
        <f t="shared" si="8"/>
        <v>12.070127577629783</v>
      </c>
      <c r="X16" s="6">
        <f t="shared" si="9"/>
        <v>0.18181818181818182</v>
      </c>
      <c r="Y16" s="1">
        <f t="shared" si="10"/>
        <v>0.81818181818181812</v>
      </c>
      <c r="Z16" s="1">
        <f t="shared" si="11"/>
        <v>4.332825162480944</v>
      </c>
      <c r="AA16" s="7">
        <f t="shared" si="12"/>
        <v>12.166412581240472</v>
      </c>
      <c r="AB16" s="6">
        <f t="shared" si="13"/>
        <v>0.18181818181818182</v>
      </c>
      <c r="AC16" s="1">
        <f t="shared" si="14"/>
        <v>0.81818181818181812</v>
      </c>
      <c r="AD16" s="1">
        <f t="shared" si="15"/>
        <v>3.6106876354007862</v>
      </c>
      <c r="AE16" s="7">
        <f t="shared" si="16"/>
        <v>11.805343817700393</v>
      </c>
      <c r="AF16" s="6">
        <f t="shared" si="17"/>
        <v>0.21818181818181817</v>
      </c>
      <c r="AG16" s="1">
        <f t="shared" si="18"/>
        <v>0.78181818181818186</v>
      </c>
      <c r="AH16" s="1">
        <f t="shared" si="23"/>
        <v>4.1402551552595686</v>
      </c>
      <c r="AI16" s="7">
        <f t="shared" si="24"/>
        <v>12.070127577629783</v>
      </c>
      <c r="AJ16" s="6">
        <f t="shared" si="19"/>
        <v>0.23636363636363636</v>
      </c>
      <c r="AK16" s="1">
        <f t="shared" si="20"/>
        <v>0.76363636363636367</v>
      </c>
      <c r="AL16" s="1">
        <f t="shared" si="21"/>
        <v>4.3809676642862874</v>
      </c>
      <c r="AM16" s="7">
        <f t="shared" si="22"/>
        <v>12.190483832143144</v>
      </c>
    </row>
    <row r="17" spans="1:39">
      <c r="A17" s="33" t="s">
        <v>84</v>
      </c>
      <c r="B17" s="49">
        <f>(1-(V12_Max/V48_Min))/Fsw</f>
        <v>7.1844660194174755E-6</v>
      </c>
      <c r="C17" s="33" t="s">
        <v>23</v>
      </c>
      <c r="D17" s="36">
        <f>IF(B17&lt;Constants!C3,1,0)</f>
        <v>0</v>
      </c>
      <c r="N17">
        <v>1.0999999999999999E-2</v>
      </c>
      <c r="O17">
        <f t="shared" si="0"/>
        <v>11</v>
      </c>
      <c r="P17" s="6">
        <f t="shared" si="1"/>
        <v>0.24</v>
      </c>
      <c r="Q17" s="1">
        <f t="shared" si="2"/>
        <v>0.76</v>
      </c>
      <c r="R17" s="1">
        <f t="shared" si="3"/>
        <v>4.0247131509267424</v>
      </c>
      <c r="S17" s="7">
        <f t="shared" si="4"/>
        <v>13.012356575463372</v>
      </c>
      <c r="T17" s="6">
        <f t="shared" si="5"/>
        <v>0.21818181818181817</v>
      </c>
      <c r="U17" s="1">
        <f t="shared" si="6"/>
        <v>0.78181818181818186</v>
      </c>
      <c r="V17" s="1">
        <f t="shared" si="7"/>
        <v>4.1402551552595686</v>
      </c>
      <c r="W17" s="7">
        <f t="shared" si="8"/>
        <v>13.070127577629783</v>
      </c>
      <c r="X17" s="6">
        <f t="shared" si="9"/>
        <v>0.18181818181818182</v>
      </c>
      <c r="Y17" s="1">
        <f t="shared" si="10"/>
        <v>0.81818181818181812</v>
      </c>
      <c r="Z17" s="1">
        <f t="shared" si="11"/>
        <v>4.332825162480944</v>
      </c>
      <c r="AA17" s="7">
        <f t="shared" si="12"/>
        <v>13.166412581240472</v>
      </c>
      <c r="AB17" s="6">
        <f t="shared" si="13"/>
        <v>0.18181818181818182</v>
      </c>
      <c r="AC17" s="1">
        <f t="shared" si="14"/>
        <v>0.81818181818181812</v>
      </c>
      <c r="AD17" s="1">
        <f t="shared" si="15"/>
        <v>3.6106876354007862</v>
      </c>
      <c r="AE17" s="7">
        <f t="shared" si="16"/>
        <v>12.805343817700393</v>
      </c>
      <c r="AF17" s="6">
        <f t="shared" si="17"/>
        <v>0.21818181818181817</v>
      </c>
      <c r="AG17" s="1">
        <f t="shared" si="18"/>
        <v>0.78181818181818186</v>
      </c>
      <c r="AH17" s="1">
        <f t="shared" si="23"/>
        <v>4.1402551552595686</v>
      </c>
      <c r="AI17" s="7">
        <f t="shared" si="24"/>
        <v>13.070127577629783</v>
      </c>
      <c r="AJ17" s="6">
        <f t="shared" si="19"/>
        <v>0.23636363636363636</v>
      </c>
      <c r="AK17" s="1">
        <f t="shared" si="20"/>
        <v>0.76363636363636367</v>
      </c>
      <c r="AL17" s="1">
        <f t="shared" si="21"/>
        <v>4.3809676642862874</v>
      </c>
      <c r="AM17" s="7">
        <f t="shared" si="22"/>
        <v>13.190483832143144</v>
      </c>
    </row>
    <row r="18" spans="1:39">
      <c r="A18" s="33" t="s">
        <v>85</v>
      </c>
      <c r="B18" s="49">
        <f>(V12_Min/V48_Max)/Fsw</f>
        <v>1.4710208884966166E-6</v>
      </c>
      <c r="C18" s="33" t="s">
        <v>23</v>
      </c>
      <c r="D18" s="36">
        <f>IF(B18&lt;Constants!C3,1,0)</f>
        <v>0</v>
      </c>
      <c r="N18">
        <v>1.2E-2</v>
      </c>
      <c r="O18">
        <f t="shared" si="0"/>
        <v>12</v>
      </c>
      <c r="P18" s="6">
        <f t="shared" si="1"/>
        <v>0.24</v>
      </c>
      <c r="Q18" s="1">
        <f t="shared" si="2"/>
        <v>0.76</v>
      </c>
      <c r="R18" s="1">
        <f t="shared" si="3"/>
        <v>4.0247131509267424</v>
      </c>
      <c r="S18" s="7">
        <f t="shared" si="4"/>
        <v>14.012356575463372</v>
      </c>
      <c r="T18" s="6">
        <f t="shared" si="5"/>
        <v>0.21818181818181817</v>
      </c>
      <c r="U18" s="1">
        <f t="shared" si="6"/>
        <v>0.78181818181818186</v>
      </c>
      <c r="V18" s="1">
        <f t="shared" si="7"/>
        <v>4.1402551552595686</v>
      </c>
      <c r="W18" s="7">
        <f t="shared" si="8"/>
        <v>14.070127577629783</v>
      </c>
      <c r="X18" s="6">
        <f t="shared" si="9"/>
        <v>0.18181818181818182</v>
      </c>
      <c r="Y18" s="1">
        <f t="shared" si="10"/>
        <v>0.81818181818181812</v>
      </c>
      <c r="Z18" s="1">
        <f t="shared" si="11"/>
        <v>4.332825162480944</v>
      </c>
      <c r="AA18" s="7">
        <f t="shared" si="12"/>
        <v>14.166412581240472</v>
      </c>
      <c r="AB18" s="6">
        <f t="shared" si="13"/>
        <v>0.18181818181818182</v>
      </c>
      <c r="AC18" s="1">
        <f t="shared" si="14"/>
        <v>0.81818181818181812</v>
      </c>
      <c r="AD18" s="1">
        <f t="shared" si="15"/>
        <v>3.6106876354007862</v>
      </c>
      <c r="AE18" s="7">
        <f t="shared" si="16"/>
        <v>13.805343817700393</v>
      </c>
      <c r="AF18" s="6">
        <f t="shared" si="17"/>
        <v>0.21818181818181817</v>
      </c>
      <c r="AG18" s="1">
        <f t="shared" si="18"/>
        <v>0.78181818181818186</v>
      </c>
      <c r="AH18" s="1">
        <f t="shared" si="23"/>
        <v>4.1402551552595686</v>
      </c>
      <c r="AI18" s="7">
        <f t="shared" si="24"/>
        <v>14.070127577629783</v>
      </c>
      <c r="AJ18" s="6">
        <f t="shared" si="19"/>
        <v>0.23636363636363636</v>
      </c>
      <c r="AK18" s="1">
        <f t="shared" si="20"/>
        <v>0.76363636363636367</v>
      </c>
      <c r="AL18" s="1">
        <f t="shared" si="21"/>
        <v>4.3809676642862874</v>
      </c>
      <c r="AM18" s="7">
        <f t="shared" si="22"/>
        <v>14.190483832143144</v>
      </c>
    </row>
    <row r="19" spans="1:39">
      <c r="N19">
        <v>1.2999999999999999E-2</v>
      </c>
      <c r="O19">
        <f t="shared" si="0"/>
        <v>13</v>
      </c>
      <c r="P19" s="6">
        <f t="shared" si="1"/>
        <v>0.24</v>
      </c>
      <c r="Q19" s="1">
        <f t="shared" si="2"/>
        <v>0.76</v>
      </c>
      <c r="R19" s="1">
        <f t="shared" si="3"/>
        <v>4.0247131509267424</v>
      </c>
      <c r="S19" s="7">
        <f t="shared" si="4"/>
        <v>15.012356575463372</v>
      </c>
      <c r="T19" s="6">
        <f t="shared" si="5"/>
        <v>0.21818181818181817</v>
      </c>
      <c r="U19" s="1">
        <f t="shared" si="6"/>
        <v>0.78181818181818186</v>
      </c>
      <c r="V19" s="1">
        <f t="shared" si="7"/>
        <v>4.1402551552595686</v>
      </c>
      <c r="W19" s="7">
        <f t="shared" si="8"/>
        <v>15.070127577629783</v>
      </c>
      <c r="X19" s="6">
        <f t="shared" si="9"/>
        <v>0.18181818181818182</v>
      </c>
      <c r="Y19" s="1">
        <f t="shared" si="10"/>
        <v>0.81818181818181812</v>
      </c>
      <c r="Z19" s="1">
        <f t="shared" si="11"/>
        <v>4.332825162480944</v>
      </c>
      <c r="AA19" s="7">
        <f t="shared" si="12"/>
        <v>15.166412581240472</v>
      </c>
      <c r="AB19" s="6">
        <f t="shared" si="13"/>
        <v>0.18181818181818182</v>
      </c>
      <c r="AC19" s="1">
        <f t="shared" si="14"/>
        <v>0.81818181818181812</v>
      </c>
      <c r="AD19" s="1">
        <f t="shared" si="15"/>
        <v>3.6106876354007862</v>
      </c>
      <c r="AE19" s="7">
        <f t="shared" si="16"/>
        <v>14.805343817700393</v>
      </c>
      <c r="AF19" s="6">
        <f t="shared" si="17"/>
        <v>0.21818181818181817</v>
      </c>
      <c r="AG19" s="1">
        <f t="shared" si="18"/>
        <v>0.78181818181818186</v>
      </c>
      <c r="AH19" s="1">
        <f t="shared" si="23"/>
        <v>4.1402551552595686</v>
      </c>
      <c r="AI19" s="7">
        <f t="shared" si="24"/>
        <v>15.070127577629783</v>
      </c>
      <c r="AJ19" s="6">
        <f t="shared" si="19"/>
        <v>0.23636363636363636</v>
      </c>
      <c r="AK19" s="1">
        <f t="shared" si="20"/>
        <v>0.76363636363636367</v>
      </c>
      <c r="AL19" s="1">
        <f t="shared" si="21"/>
        <v>4.3809676642862874</v>
      </c>
      <c r="AM19" s="7">
        <f t="shared" si="22"/>
        <v>15.190483832143144</v>
      </c>
    </row>
    <row r="20" spans="1:39">
      <c r="N20">
        <v>1.4E-2</v>
      </c>
      <c r="O20">
        <f t="shared" si="0"/>
        <v>14</v>
      </c>
      <c r="P20" s="6">
        <f t="shared" si="1"/>
        <v>0.24</v>
      </c>
      <c r="Q20" s="1">
        <f t="shared" si="2"/>
        <v>0.76</v>
      </c>
      <c r="R20" s="1">
        <f t="shared" si="3"/>
        <v>4.0247131509267424</v>
      </c>
      <c r="S20" s="7">
        <f t="shared" si="4"/>
        <v>16.012356575463372</v>
      </c>
      <c r="T20" s="6">
        <f t="shared" si="5"/>
        <v>0.21818181818181817</v>
      </c>
      <c r="U20" s="1">
        <f t="shared" si="6"/>
        <v>0.78181818181818186</v>
      </c>
      <c r="V20" s="1">
        <f t="shared" si="7"/>
        <v>4.1402551552595686</v>
      </c>
      <c r="W20" s="7">
        <f t="shared" si="8"/>
        <v>16.070127577629783</v>
      </c>
      <c r="X20" s="6">
        <f t="shared" si="9"/>
        <v>0.18181818181818182</v>
      </c>
      <c r="Y20" s="1">
        <f t="shared" si="10"/>
        <v>0.81818181818181812</v>
      </c>
      <c r="Z20" s="1">
        <f t="shared" si="11"/>
        <v>4.332825162480944</v>
      </c>
      <c r="AA20" s="7">
        <f t="shared" si="12"/>
        <v>16.166412581240472</v>
      </c>
      <c r="AB20" s="6">
        <f t="shared" si="13"/>
        <v>0.18181818181818182</v>
      </c>
      <c r="AC20" s="1">
        <f t="shared" si="14"/>
        <v>0.81818181818181812</v>
      </c>
      <c r="AD20" s="1">
        <f t="shared" si="15"/>
        <v>3.6106876354007862</v>
      </c>
      <c r="AE20" s="7">
        <f t="shared" si="16"/>
        <v>15.805343817700393</v>
      </c>
      <c r="AF20" s="6">
        <f t="shared" si="17"/>
        <v>0.21818181818181817</v>
      </c>
      <c r="AG20" s="1">
        <f t="shared" si="18"/>
        <v>0.78181818181818186</v>
      </c>
      <c r="AH20" s="1">
        <f t="shared" si="23"/>
        <v>4.1402551552595686</v>
      </c>
      <c r="AI20" s="7">
        <f t="shared" si="24"/>
        <v>16.070127577629783</v>
      </c>
      <c r="AJ20" s="6">
        <f t="shared" si="19"/>
        <v>0.23636363636363636</v>
      </c>
      <c r="AK20" s="1">
        <f t="shared" si="20"/>
        <v>0.76363636363636367</v>
      </c>
      <c r="AL20" s="1">
        <f t="shared" si="21"/>
        <v>4.3809676642862874</v>
      </c>
      <c r="AM20" s="7">
        <f t="shared" si="22"/>
        <v>16.190483832143144</v>
      </c>
    </row>
    <row r="21" spans="1:39">
      <c r="A21" s="297" t="s">
        <v>119</v>
      </c>
      <c r="B21" s="298"/>
      <c r="C21" s="299"/>
      <c r="N21">
        <v>1.4999999999999999E-2</v>
      </c>
      <c r="O21">
        <f t="shared" si="0"/>
        <v>15</v>
      </c>
      <c r="P21" s="6">
        <f t="shared" si="1"/>
        <v>0.24</v>
      </c>
      <c r="Q21" s="1">
        <f t="shared" si="2"/>
        <v>0.76</v>
      </c>
      <c r="R21" s="1">
        <f t="shared" si="3"/>
        <v>4.0247131509267424</v>
      </c>
      <c r="S21" s="7">
        <f t="shared" si="4"/>
        <v>17.012356575463372</v>
      </c>
      <c r="T21" s="6">
        <f t="shared" si="5"/>
        <v>0.21818181818181817</v>
      </c>
      <c r="U21" s="1">
        <f t="shared" si="6"/>
        <v>0.78181818181818186</v>
      </c>
      <c r="V21" s="1">
        <f t="shared" si="7"/>
        <v>4.1402551552595686</v>
      </c>
      <c r="W21" s="7">
        <f t="shared" si="8"/>
        <v>17.070127577629783</v>
      </c>
      <c r="X21" s="6">
        <f t="shared" si="9"/>
        <v>0.18181818181818182</v>
      </c>
      <c r="Y21" s="1">
        <f t="shared" si="10"/>
        <v>0.81818181818181812</v>
      </c>
      <c r="Z21" s="1">
        <f t="shared" si="11"/>
        <v>4.332825162480944</v>
      </c>
      <c r="AA21" s="7">
        <f t="shared" si="12"/>
        <v>17.166412581240472</v>
      </c>
      <c r="AB21" s="6">
        <f t="shared" si="13"/>
        <v>0.18181818181818182</v>
      </c>
      <c r="AC21" s="1">
        <f t="shared" si="14"/>
        <v>0.81818181818181812</v>
      </c>
      <c r="AD21" s="1">
        <f t="shared" si="15"/>
        <v>3.6106876354007862</v>
      </c>
      <c r="AE21" s="7">
        <f t="shared" si="16"/>
        <v>16.805343817700393</v>
      </c>
      <c r="AF21" s="6">
        <f t="shared" si="17"/>
        <v>0.21818181818181817</v>
      </c>
      <c r="AG21" s="1">
        <f t="shared" si="18"/>
        <v>0.78181818181818186</v>
      </c>
      <c r="AH21" s="1">
        <f t="shared" si="23"/>
        <v>4.1402551552595686</v>
      </c>
      <c r="AI21" s="7">
        <f t="shared" si="24"/>
        <v>17.070127577629783</v>
      </c>
      <c r="AJ21" s="6">
        <f t="shared" si="19"/>
        <v>0.23636363636363636</v>
      </c>
      <c r="AK21" s="1">
        <f t="shared" si="20"/>
        <v>0.76363636363636367</v>
      </c>
      <c r="AL21" s="1">
        <f t="shared" si="21"/>
        <v>4.3809676642862874</v>
      </c>
      <c r="AM21" s="7">
        <f t="shared" si="22"/>
        <v>17.190483832143144</v>
      </c>
    </row>
    <row r="22" spans="1:39">
      <c r="A22" s="33" t="s">
        <v>44</v>
      </c>
      <c r="B22" s="47">
        <f>Design_Converter!B26</f>
        <v>12</v>
      </c>
      <c r="C22" s="62" t="s">
        <v>4</v>
      </c>
      <c r="N22">
        <v>1.6E-2</v>
      </c>
      <c r="O22">
        <f t="shared" si="0"/>
        <v>16</v>
      </c>
      <c r="P22" s="6">
        <f t="shared" si="1"/>
        <v>0.24</v>
      </c>
      <c r="Q22" s="1">
        <f t="shared" si="2"/>
        <v>0.76</v>
      </c>
      <c r="R22" s="1">
        <f t="shared" si="3"/>
        <v>4.0247131509267424</v>
      </c>
      <c r="S22" s="7">
        <f t="shared" si="4"/>
        <v>18.012356575463372</v>
      </c>
      <c r="T22" s="6">
        <f t="shared" si="5"/>
        <v>0.21818181818181817</v>
      </c>
      <c r="U22" s="1">
        <f t="shared" si="6"/>
        <v>0.78181818181818186</v>
      </c>
      <c r="V22" s="1">
        <f t="shared" si="7"/>
        <v>4.1402551552595686</v>
      </c>
      <c r="W22" s="7">
        <f t="shared" si="8"/>
        <v>18.070127577629783</v>
      </c>
      <c r="X22" s="6">
        <f t="shared" si="9"/>
        <v>0.18181818181818182</v>
      </c>
      <c r="Y22" s="1">
        <f t="shared" si="10"/>
        <v>0.81818181818181812</v>
      </c>
      <c r="Z22" s="1">
        <f t="shared" si="11"/>
        <v>4.332825162480944</v>
      </c>
      <c r="AA22" s="7">
        <f t="shared" si="12"/>
        <v>18.166412581240472</v>
      </c>
      <c r="AB22" s="6">
        <f t="shared" si="13"/>
        <v>0.18181818181818182</v>
      </c>
      <c r="AC22" s="1">
        <f t="shared" si="14"/>
        <v>0.81818181818181812</v>
      </c>
      <c r="AD22" s="1">
        <f t="shared" si="15"/>
        <v>3.6106876354007862</v>
      </c>
      <c r="AE22" s="7">
        <f t="shared" si="16"/>
        <v>17.805343817700393</v>
      </c>
      <c r="AF22" s="6">
        <f t="shared" si="17"/>
        <v>0.21818181818181817</v>
      </c>
      <c r="AG22" s="1">
        <f t="shared" si="18"/>
        <v>0.78181818181818186</v>
      </c>
      <c r="AH22" s="1">
        <f t="shared" si="23"/>
        <v>4.1402551552595686</v>
      </c>
      <c r="AI22" s="7">
        <f t="shared" si="24"/>
        <v>18.070127577629783</v>
      </c>
      <c r="AJ22" s="6">
        <f t="shared" si="19"/>
        <v>0.23636363636363636</v>
      </c>
      <c r="AK22" s="1">
        <f t="shared" si="20"/>
        <v>0.76363636363636367</v>
      </c>
      <c r="AL22" s="1">
        <f t="shared" si="21"/>
        <v>4.3809676642862874</v>
      </c>
      <c r="AM22" s="7">
        <f t="shared" si="22"/>
        <v>18.190483832143144</v>
      </c>
    </row>
    <row r="23" spans="1:39">
      <c r="A23" s="33" t="s">
        <v>120</v>
      </c>
      <c r="B23" s="48"/>
      <c r="C23" s="33" t="s">
        <v>4</v>
      </c>
      <c r="E23" s="36" t="s">
        <v>121</v>
      </c>
      <c r="N23">
        <v>1.7000000000000001E-2</v>
      </c>
      <c r="O23">
        <f t="shared" si="0"/>
        <v>17</v>
      </c>
      <c r="P23" s="6">
        <f t="shared" si="1"/>
        <v>0.24</v>
      </c>
      <c r="Q23" s="1">
        <f t="shared" si="2"/>
        <v>0.76</v>
      </c>
      <c r="R23" s="1">
        <f t="shared" si="3"/>
        <v>4.0247131509267424</v>
      </c>
      <c r="S23" s="7">
        <f t="shared" si="4"/>
        <v>19.012356575463372</v>
      </c>
      <c r="T23" s="6">
        <f t="shared" si="5"/>
        <v>0.21818181818181817</v>
      </c>
      <c r="U23" s="1">
        <f t="shared" si="6"/>
        <v>0.78181818181818186</v>
      </c>
      <c r="V23" s="1">
        <f t="shared" si="7"/>
        <v>4.1402551552595686</v>
      </c>
      <c r="W23" s="7">
        <f t="shared" si="8"/>
        <v>19.070127577629783</v>
      </c>
      <c r="X23" s="6">
        <f t="shared" si="9"/>
        <v>0.18181818181818182</v>
      </c>
      <c r="Y23" s="1">
        <f t="shared" si="10"/>
        <v>0.81818181818181812</v>
      </c>
      <c r="Z23" s="1">
        <f t="shared" si="11"/>
        <v>4.332825162480944</v>
      </c>
      <c r="AA23" s="7">
        <f t="shared" si="12"/>
        <v>19.166412581240472</v>
      </c>
      <c r="AB23" s="6">
        <f t="shared" si="13"/>
        <v>0.18181818181818182</v>
      </c>
      <c r="AC23" s="1">
        <f t="shared" si="14"/>
        <v>0.81818181818181812</v>
      </c>
      <c r="AD23" s="1">
        <f t="shared" si="15"/>
        <v>3.6106876354007862</v>
      </c>
      <c r="AE23" s="7">
        <f t="shared" si="16"/>
        <v>18.805343817700393</v>
      </c>
      <c r="AF23" s="6">
        <f t="shared" si="17"/>
        <v>0.21818181818181817</v>
      </c>
      <c r="AG23" s="1">
        <f t="shared" si="18"/>
        <v>0.78181818181818186</v>
      </c>
      <c r="AH23" s="1">
        <f t="shared" si="23"/>
        <v>4.1402551552595686</v>
      </c>
      <c r="AI23" s="7">
        <f t="shared" si="24"/>
        <v>19.070127577629783</v>
      </c>
      <c r="AJ23" s="6">
        <f t="shared" si="19"/>
        <v>0.23636363636363636</v>
      </c>
      <c r="AK23" s="1">
        <f t="shared" si="20"/>
        <v>0.76363636363636367</v>
      </c>
      <c r="AL23" s="1">
        <f t="shared" si="21"/>
        <v>4.3809676642862874</v>
      </c>
      <c r="AM23" s="7">
        <f t="shared" si="22"/>
        <v>19.190483832143144</v>
      </c>
    </row>
    <row r="24" spans="1:39">
      <c r="A24" s="33" t="s">
        <v>122</v>
      </c>
      <c r="B24" s="47">
        <f>Design_Converter!B25</f>
        <v>2</v>
      </c>
      <c r="C24" s="33"/>
      <c r="E24" s="36" t="s">
        <v>123</v>
      </c>
      <c r="N24">
        <v>1.7999999999999999E-2</v>
      </c>
      <c r="O24">
        <f t="shared" si="0"/>
        <v>18</v>
      </c>
      <c r="P24" s="6">
        <f t="shared" si="1"/>
        <v>0.24</v>
      </c>
      <c r="Q24" s="1">
        <f t="shared" si="2"/>
        <v>0.76</v>
      </c>
      <c r="R24" s="1">
        <f t="shared" si="3"/>
        <v>4.0247131509267424</v>
      </c>
      <c r="S24" s="7">
        <f t="shared" si="4"/>
        <v>20.012356575463372</v>
      </c>
      <c r="T24" s="6">
        <f t="shared" si="5"/>
        <v>0.21818181818181817</v>
      </c>
      <c r="U24" s="1">
        <f t="shared" si="6"/>
        <v>0.78181818181818186</v>
      </c>
      <c r="V24" s="1">
        <f t="shared" si="7"/>
        <v>4.1402551552595686</v>
      </c>
      <c r="W24" s="7">
        <f t="shared" si="8"/>
        <v>20.070127577629783</v>
      </c>
      <c r="X24" s="6">
        <f t="shared" si="9"/>
        <v>0.18181818181818182</v>
      </c>
      <c r="Y24" s="1">
        <f t="shared" si="10"/>
        <v>0.81818181818181812</v>
      </c>
      <c r="Z24" s="1">
        <f t="shared" si="11"/>
        <v>4.332825162480944</v>
      </c>
      <c r="AA24" s="7">
        <f t="shared" si="12"/>
        <v>20.166412581240472</v>
      </c>
      <c r="AB24" s="6">
        <f t="shared" si="13"/>
        <v>0.18181818181818182</v>
      </c>
      <c r="AC24" s="1">
        <f t="shared" si="14"/>
        <v>0.81818181818181812</v>
      </c>
      <c r="AD24" s="1">
        <f t="shared" si="15"/>
        <v>3.6106876354007862</v>
      </c>
      <c r="AE24" s="7">
        <f t="shared" si="16"/>
        <v>19.805343817700393</v>
      </c>
      <c r="AF24" s="6">
        <f t="shared" si="17"/>
        <v>0.21818181818181817</v>
      </c>
      <c r="AG24" s="1">
        <f t="shared" si="18"/>
        <v>0.78181818181818186</v>
      </c>
      <c r="AH24" s="1">
        <f t="shared" si="23"/>
        <v>4.1402551552595686</v>
      </c>
      <c r="AI24" s="7">
        <f t="shared" si="24"/>
        <v>20.070127577629783</v>
      </c>
      <c r="AJ24" s="6">
        <f t="shared" si="19"/>
        <v>0.23636363636363636</v>
      </c>
      <c r="AK24" s="1">
        <f t="shared" si="20"/>
        <v>0.76363636363636367</v>
      </c>
      <c r="AL24" s="1">
        <f t="shared" si="21"/>
        <v>4.3809676642862874</v>
      </c>
      <c r="AM24" s="7">
        <f t="shared" si="22"/>
        <v>20.190483832143144</v>
      </c>
    </row>
    <row r="25" spans="1:39">
      <c r="A25" s="33" t="s">
        <v>131</v>
      </c>
      <c r="B25" s="48">
        <f>B22/B24</f>
        <v>6</v>
      </c>
      <c r="C25" s="33" t="s">
        <v>4</v>
      </c>
      <c r="E25" s="36" t="s">
        <v>164</v>
      </c>
      <c r="N25">
        <v>1.9E-2</v>
      </c>
      <c r="O25">
        <f t="shared" si="0"/>
        <v>19</v>
      </c>
      <c r="P25" s="6">
        <f t="shared" si="1"/>
        <v>0.24</v>
      </c>
      <c r="Q25" s="1">
        <f t="shared" si="2"/>
        <v>0.76</v>
      </c>
      <c r="R25" s="1">
        <f t="shared" si="3"/>
        <v>4.0247131509267424</v>
      </c>
      <c r="S25" s="7">
        <f t="shared" si="4"/>
        <v>21.012356575463372</v>
      </c>
      <c r="T25" s="6">
        <f t="shared" si="5"/>
        <v>0.21818181818181817</v>
      </c>
      <c r="U25" s="1">
        <f t="shared" si="6"/>
        <v>0.78181818181818186</v>
      </c>
      <c r="V25" s="1">
        <f t="shared" si="7"/>
        <v>4.1402551552595686</v>
      </c>
      <c r="W25" s="7">
        <f t="shared" si="8"/>
        <v>21.070127577629783</v>
      </c>
      <c r="X25" s="6">
        <f t="shared" si="9"/>
        <v>0.18181818181818182</v>
      </c>
      <c r="Y25" s="1">
        <f t="shared" si="10"/>
        <v>0.81818181818181812</v>
      </c>
      <c r="Z25" s="1">
        <f t="shared" si="11"/>
        <v>4.332825162480944</v>
      </c>
      <c r="AA25" s="7">
        <f t="shared" si="12"/>
        <v>21.166412581240472</v>
      </c>
      <c r="AB25" s="6">
        <f t="shared" si="13"/>
        <v>0.18181818181818182</v>
      </c>
      <c r="AC25" s="1">
        <f t="shared" si="14"/>
        <v>0.81818181818181812</v>
      </c>
      <c r="AD25" s="1">
        <f t="shared" si="15"/>
        <v>3.6106876354007862</v>
      </c>
      <c r="AE25" s="7">
        <f t="shared" si="16"/>
        <v>20.805343817700393</v>
      </c>
      <c r="AF25" s="6">
        <f t="shared" si="17"/>
        <v>0.21818181818181817</v>
      </c>
      <c r="AG25" s="1">
        <f t="shared" si="18"/>
        <v>0.78181818181818186</v>
      </c>
      <c r="AH25" s="1">
        <f t="shared" si="23"/>
        <v>4.1402551552595686</v>
      </c>
      <c r="AI25" s="7">
        <f t="shared" si="24"/>
        <v>21.070127577629783</v>
      </c>
      <c r="AJ25" s="6">
        <f t="shared" si="19"/>
        <v>0.23636363636363636</v>
      </c>
      <c r="AK25" s="1">
        <f t="shared" si="20"/>
        <v>0.76363636363636367</v>
      </c>
      <c r="AL25" s="1">
        <f t="shared" si="21"/>
        <v>4.3809676642862874</v>
      </c>
      <c r="AM25" s="7">
        <f t="shared" si="22"/>
        <v>21.190483832143144</v>
      </c>
    </row>
    <row r="26" spans="1:39">
      <c r="A26" s="183" t="s">
        <v>371</v>
      </c>
      <c r="B26" s="47">
        <f>Design_Converter!B27</f>
        <v>5</v>
      </c>
      <c r="C26" s="33" t="s">
        <v>4</v>
      </c>
      <c r="N26">
        <v>0.02</v>
      </c>
      <c r="O26">
        <f t="shared" si="0"/>
        <v>20</v>
      </c>
      <c r="P26" s="6">
        <f t="shared" si="1"/>
        <v>0.24</v>
      </c>
      <c r="Q26" s="1">
        <f t="shared" si="2"/>
        <v>0.76</v>
      </c>
      <c r="R26" s="1">
        <f t="shared" si="3"/>
        <v>4.0247131509267424</v>
      </c>
      <c r="S26" s="7">
        <f t="shared" si="4"/>
        <v>22.012356575463372</v>
      </c>
      <c r="T26" s="6">
        <f t="shared" si="5"/>
        <v>0.21818181818181817</v>
      </c>
      <c r="U26" s="1">
        <f t="shared" si="6"/>
        <v>0.78181818181818186</v>
      </c>
      <c r="V26" s="1">
        <f t="shared" si="7"/>
        <v>4.1402551552595686</v>
      </c>
      <c r="W26" s="7">
        <f t="shared" si="8"/>
        <v>22.070127577629783</v>
      </c>
      <c r="X26" s="6">
        <f t="shared" si="9"/>
        <v>0.18181818181818182</v>
      </c>
      <c r="Y26" s="1">
        <f t="shared" si="10"/>
        <v>0.81818181818181812</v>
      </c>
      <c r="Z26" s="1">
        <f t="shared" si="11"/>
        <v>4.332825162480944</v>
      </c>
      <c r="AA26" s="7">
        <f t="shared" si="12"/>
        <v>22.166412581240472</v>
      </c>
      <c r="AB26" s="6">
        <f t="shared" si="13"/>
        <v>0.18181818181818182</v>
      </c>
      <c r="AC26" s="1">
        <f t="shared" si="14"/>
        <v>0.81818181818181812</v>
      </c>
      <c r="AD26" s="1">
        <f t="shared" si="15"/>
        <v>3.6106876354007862</v>
      </c>
      <c r="AE26" s="7">
        <f t="shared" si="16"/>
        <v>21.805343817700393</v>
      </c>
      <c r="AF26" s="6">
        <f t="shared" si="17"/>
        <v>0.21818181818181817</v>
      </c>
      <c r="AG26" s="1">
        <f t="shared" si="18"/>
        <v>0.78181818181818186</v>
      </c>
      <c r="AH26" s="1">
        <f t="shared" si="23"/>
        <v>4.1402551552595686</v>
      </c>
      <c r="AI26" s="7">
        <f t="shared" si="24"/>
        <v>22.070127577629783</v>
      </c>
      <c r="AJ26" s="6">
        <f t="shared" si="19"/>
        <v>0.23636363636363636</v>
      </c>
      <c r="AK26" s="1">
        <f t="shared" si="20"/>
        <v>0.76363636363636367</v>
      </c>
      <c r="AL26" s="1">
        <f t="shared" si="21"/>
        <v>4.3809676642862874</v>
      </c>
      <c r="AM26" s="7">
        <f t="shared" si="22"/>
        <v>22.190483832143144</v>
      </c>
    </row>
    <row r="27" spans="1:39">
      <c r="A27" s="183" t="s">
        <v>372</v>
      </c>
      <c r="B27" s="48">
        <f>B26/2</f>
        <v>2.5</v>
      </c>
      <c r="C27" s="33" t="s">
        <v>4</v>
      </c>
      <c r="N27">
        <v>2.1000000000000001E-2</v>
      </c>
      <c r="O27">
        <f t="shared" si="0"/>
        <v>21</v>
      </c>
      <c r="P27" s="6">
        <f t="shared" si="1"/>
        <v>0.24</v>
      </c>
      <c r="Q27" s="1">
        <f t="shared" si="2"/>
        <v>0.76</v>
      </c>
      <c r="R27" s="1">
        <f t="shared" si="3"/>
        <v>4.0247131509267424</v>
      </c>
      <c r="S27" s="7">
        <f t="shared" si="4"/>
        <v>23.012356575463372</v>
      </c>
      <c r="T27" s="6">
        <f t="shared" si="5"/>
        <v>0.21818181818181817</v>
      </c>
      <c r="U27" s="1">
        <f t="shared" si="6"/>
        <v>0.78181818181818186</v>
      </c>
      <c r="V27" s="1">
        <f t="shared" si="7"/>
        <v>4.1402551552595686</v>
      </c>
      <c r="W27" s="7">
        <f t="shared" si="8"/>
        <v>23.070127577629783</v>
      </c>
      <c r="X27" s="6">
        <f t="shared" si="9"/>
        <v>0.18181818181818182</v>
      </c>
      <c r="Y27" s="1">
        <f t="shared" si="10"/>
        <v>0.81818181818181812</v>
      </c>
      <c r="Z27" s="1">
        <f t="shared" si="11"/>
        <v>4.332825162480944</v>
      </c>
      <c r="AA27" s="7">
        <f t="shared" si="12"/>
        <v>23.166412581240472</v>
      </c>
      <c r="AB27" s="6">
        <f t="shared" si="13"/>
        <v>0.18181818181818182</v>
      </c>
      <c r="AC27" s="1">
        <f t="shared" si="14"/>
        <v>0.81818181818181812</v>
      </c>
      <c r="AD27" s="1">
        <f t="shared" si="15"/>
        <v>3.6106876354007862</v>
      </c>
      <c r="AE27" s="7">
        <f t="shared" si="16"/>
        <v>22.805343817700393</v>
      </c>
      <c r="AF27" s="6">
        <f t="shared" si="17"/>
        <v>0.21818181818181817</v>
      </c>
      <c r="AG27" s="1">
        <f t="shared" si="18"/>
        <v>0.78181818181818186</v>
      </c>
      <c r="AH27" s="1">
        <f t="shared" si="23"/>
        <v>4.1402551552595686</v>
      </c>
      <c r="AI27" s="7">
        <f t="shared" si="24"/>
        <v>23.070127577629783</v>
      </c>
      <c r="AJ27" s="6">
        <f t="shared" si="19"/>
        <v>0.23636363636363636</v>
      </c>
      <c r="AK27" s="1">
        <f t="shared" si="20"/>
        <v>0.76363636363636367</v>
      </c>
      <c r="AL27" s="1">
        <f t="shared" si="21"/>
        <v>4.3809676642862874</v>
      </c>
      <c r="AM27" s="7">
        <f t="shared" si="22"/>
        <v>23.190483832143144</v>
      </c>
    </row>
    <row r="28" spans="1:39">
      <c r="A28" s="183" t="s">
        <v>448</v>
      </c>
      <c r="B28" s="48">
        <f>I_Channel_Design</f>
        <v>6</v>
      </c>
      <c r="C28" s="33" t="s">
        <v>4</v>
      </c>
      <c r="E28" s="36" t="s">
        <v>389</v>
      </c>
      <c r="N28">
        <v>2.1999999999999999E-2</v>
      </c>
      <c r="O28">
        <f t="shared" si="0"/>
        <v>22</v>
      </c>
      <c r="P28" s="6">
        <f t="shared" si="1"/>
        <v>0.24</v>
      </c>
      <c r="Q28" s="1">
        <f t="shared" si="2"/>
        <v>0.76</v>
      </c>
      <c r="R28" s="1">
        <f t="shared" si="3"/>
        <v>4.0247131509267424</v>
      </c>
      <c r="S28" s="7">
        <f t="shared" si="4"/>
        <v>24.012356575463372</v>
      </c>
      <c r="T28" s="6">
        <f t="shared" si="5"/>
        <v>0.21818181818181817</v>
      </c>
      <c r="U28" s="1">
        <f t="shared" si="6"/>
        <v>0.78181818181818186</v>
      </c>
      <c r="V28" s="1">
        <f t="shared" si="7"/>
        <v>4.1402551552595686</v>
      </c>
      <c r="W28" s="7">
        <f t="shared" si="8"/>
        <v>24.070127577629783</v>
      </c>
      <c r="X28" s="6">
        <f t="shared" si="9"/>
        <v>0.18181818181818182</v>
      </c>
      <c r="Y28" s="1">
        <f t="shared" si="10"/>
        <v>0.81818181818181812</v>
      </c>
      <c r="Z28" s="1">
        <f t="shared" si="11"/>
        <v>4.332825162480944</v>
      </c>
      <c r="AA28" s="7">
        <f t="shared" si="12"/>
        <v>24.166412581240472</v>
      </c>
      <c r="AB28" s="6">
        <f t="shared" si="13"/>
        <v>0.18181818181818182</v>
      </c>
      <c r="AC28" s="1">
        <f t="shared" si="14"/>
        <v>0.81818181818181812</v>
      </c>
      <c r="AD28" s="1">
        <f t="shared" si="15"/>
        <v>3.6106876354007862</v>
      </c>
      <c r="AE28" s="7">
        <f t="shared" si="16"/>
        <v>23.805343817700393</v>
      </c>
      <c r="AF28" s="6">
        <f t="shared" si="17"/>
        <v>0.21818181818181817</v>
      </c>
      <c r="AG28" s="1">
        <f t="shared" si="18"/>
        <v>0.78181818181818186</v>
      </c>
      <c r="AH28" s="1">
        <f t="shared" si="23"/>
        <v>4.1402551552595686</v>
      </c>
      <c r="AI28" s="7">
        <f t="shared" si="24"/>
        <v>24.070127577629783</v>
      </c>
      <c r="AJ28" s="6">
        <f t="shared" si="19"/>
        <v>0.23636363636363636</v>
      </c>
      <c r="AK28" s="1">
        <f t="shared" si="20"/>
        <v>0.76363636363636367</v>
      </c>
      <c r="AL28" s="1">
        <f t="shared" si="21"/>
        <v>4.3809676642862874</v>
      </c>
      <c r="AM28" s="7">
        <f t="shared" si="22"/>
        <v>24.190483832143144</v>
      </c>
    </row>
    <row r="29" spans="1:39">
      <c r="A29" s="33" t="s">
        <v>165</v>
      </c>
      <c r="B29" s="48">
        <f>B25*V12_Nom</f>
        <v>72</v>
      </c>
      <c r="C29" s="33" t="s">
        <v>124</v>
      </c>
      <c r="E29" s="36" t="s">
        <v>166</v>
      </c>
      <c r="N29">
        <v>2.3E-2</v>
      </c>
      <c r="O29">
        <f t="shared" si="0"/>
        <v>23</v>
      </c>
      <c r="P29" s="6">
        <f t="shared" si="1"/>
        <v>0.24</v>
      </c>
      <c r="Q29" s="1">
        <f t="shared" si="2"/>
        <v>0.76</v>
      </c>
      <c r="R29" s="1">
        <f t="shared" si="3"/>
        <v>4.0247131509267424</v>
      </c>
      <c r="S29" s="7">
        <f t="shared" si="4"/>
        <v>25.012356575463372</v>
      </c>
      <c r="T29" s="6">
        <f t="shared" si="5"/>
        <v>0.21818181818181817</v>
      </c>
      <c r="U29" s="1">
        <f t="shared" si="6"/>
        <v>0.78181818181818186</v>
      </c>
      <c r="V29" s="1">
        <f t="shared" si="7"/>
        <v>4.1402551552595686</v>
      </c>
      <c r="W29" s="7">
        <f t="shared" si="8"/>
        <v>25.070127577629783</v>
      </c>
      <c r="X29" s="6">
        <f t="shared" si="9"/>
        <v>0.18181818181818182</v>
      </c>
      <c r="Y29" s="1">
        <f t="shared" si="10"/>
        <v>0.81818181818181812</v>
      </c>
      <c r="Z29" s="1">
        <f t="shared" si="11"/>
        <v>4.332825162480944</v>
      </c>
      <c r="AA29" s="7">
        <f t="shared" si="12"/>
        <v>25.166412581240472</v>
      </c>
      <c r="AB29" s="6">
        <f t="shared" si="13"/>
        <v>0.18181818181818182</v>
      </c>
      <c r="AC29" s="1">
        <f t="shared" si="14"/>
        <v>0.81818181818181812</v>
      </c>
      <c r="AD29" s="1">
        <f t="shared" si="15"/>
        <v>3.6106876354007862</v>
      </c>
      <c r="AE29" s="7">
        <f t="shared" si="16"/>
        <v>24.805343817700393</v>
      </c>
      <c r="AF29" s="6">
        <f t="shared" si="17"/>
        <v>0.21818181818181817</v>
      </c>
      <c r="AG29" s="1">
        <f t="shared" si="18"/>
        <v>0.78181818181818186</v>
      </c>
      <c r="AH29" s="1">
        <f t="shared" si="23"/>
        <v>4.1402551552595686</v>
      </c>
      <c r="AI29" s="7">
        <f t="shared" si="24"/>
        <v>25.070127577629783</v>
      </c>
      <c r="AJ29" s="6">
        <f t="shared" si="19"/>
        <v>0.23636363636363636</v>
      </c>
      <c r="AK29" s="1">
        <f t="shared" si="20"/>
        <v>0.76363636363636367</v>
      </c>
      <c r="AL29" s="1">
        <f t="shared" si="21"/>
        <v>4.3809676642862874</v>
      </c>
      <c r="AM29" s="7">
        <f t="shared" si="22"/>
        <v>25.190483832143144</v>
      </c>
    </row>
    <row r="30" spans="1:39">
      <c r="A30" s="33" t="s">
        <v>127</v>
      </c>
      <c r="B30" s="48">
        <f>(VCS_Max/MAX(B25,B28))*1000</f>
        <v>8.3333333333333339</v>
      </c>
      <c r="C30" s="33" t="s">
        <v>125</v>
      </c>
      <c r="E30" s="36" t="s">
        <v>128</v>
      </c>
      <c r="N30">
        <v>2.4E-2</v>
      </c>
      <c r="O30">
        <f t="shared" si="0"/>
        <v>24</v>
      </c>
      <c r="P30" s="6">
        <f t="shared" si="1"/>
        <v>0.24</v>
      </c>
      <c r="Q30" s="1">
        <f t="shared" si="2"/>
        <v>0.76</v>
      </c>
      <c r="R30" s="1">
        <f t="shared" si="3"/>
        <v>4.0247131509267424</v>
      </c>
      <c r="S30" s="7">
        <f t="shared" si="4"/>
        <v>26.012356575463372</v>
      </c>
      <c r="T30" s="6">
        <f t="shared" si="5"/>
        <v>0.21818181818181817</v>
      </c>
      <c r="U30" s="1">
        <f t="shared" si="6"/>
        <v>0.78181818181818186</v>
      </c>
      <c r="V30" s="1">
        <f t="shared" si="7"/>
        <v>4.1402551552595686</v>
      </c>
      <c r="W30" s="7">
        <f t="shared" si="8"/>
        <v>26.070127577629783</v>
      </c>
      <c r="X30" s="6">
        <f t="shared" si="9"/>
        <v>0.18181818181818182</v>
      </c>
      <c r="Y30" s="1">
        <f t="shared" si="10"/>
        <v>0.81818181818181812</v>
      </c>
      <c r="Z30" s="1">
        <f t="shared" si="11"/>
        <v>4.332825162480944</v>
      </c>
      <c r="AA30" s="7">
        <f t="shared" si="12"/>
        <v>26.166412581240472</v>
      </c>
      <c r="AB30" s="6">
        <f t="shared" si="13"/>
        <v>0.18181818181818182</v>
      </c>
      <c r="AC30" s="1">
        <f t="shared" si="14"/>
        <v>0.81818181818181812</v>
      </c>
      <c r="AD30" s="1">
        <f t="shared" si="15"/>
        <v>3.6106876354007862</v>
      </c>
      <c r="AE30" s="7">
        <f t="shared" si="16"/>
        <v>25.805343817700393</v>
      </c>
      <c r="AF30" s="6">
        <f t="shared" si="17"/>
        <v>0.21818181818181817</v>
      </c>
      <c r="AG30" s="1">
        <f t="shared" si="18"/>
        <v>0.78181818181818186</v>
      </c>
      <c r="AH30" s="1">
        <f t="shared" si="23"/>
        <v>4.1402551552595686</v>
      </c>
      <c r="AI30" s="7">
        <f t="shared" si="24"/>
        <v>26.070127577629783</v>
      </c>
      <c r="AJ30" s="6">
        <f t="shared" si="19"/>
        <v>0.23636363636363636</v>
      </c>
      <c r="AK30" s="1">
        <f t="shared" si="20"/>
        <v>0.76363636363636367</v>
      </c>
      <c r="AL30" s="1">
        <f t="shared" si="21"/>
        <v>4.3809676642862874</v>
      </c>
      <c r="AM30" s="7">
        <f t="shared" si="22"/>
        <v>26.190483832143144</v>
      </c>
    </row>
    <row r="31" spans="1:39">
      <c r="A31" s="33" t="s">
        <v>129</v>
      </c>
      <c r="B31" s="47">
        <f>Design_Converter!B29</f>
        <v>1</v>
      </c>
      <c r="C31" s="33" t="s">
        <v>125</v>
      </c>
      <c r="E31" s="36" t="s">
        <v>8</v>
      </c>
      <c r="N31">
        <v>2.5000000000000001E-2</v>
      </c>
      <c r="O31">
        <f t="shared" si="0"/>
        <v>25</v>
      </c>
      <c r="P31" s="6">
        <f t="shared" si="1"/>
        <v>0.24</v>
      </c>
      <c r="Q31" s="1">
        <f t="shared" si="2"/>
        <v>0.76</v>
      </c>
      <c r="R31" s="1">
        <f t="shared" si="3"/>
        <v>4.0247131509267424</v>
      </c>
      <c r="S31" s="7">
        <f t="shared" si="4"/>
        <v>27.012356575463372</v>
      </c>
      <c r="T31" s="6">
        <f t="shared" si="5"/>
        <v>0.21818181818181817</v>
      </c>
      <c r="U31" s="1">
        <f t="shared" si="6"/>
        <v>0.78181818181818186</v>
      </c>
      <c r="V31" s="1">
        <f t="shared" si="7"/>
        <v>4.1402551552595686</v>
      </c>
      <c r="W31" s="7">
        <f t="shared" si="8"/>
        <v>27.070127577629783</v>
      </c>
      <c r="X31" s="6">
        <f t="shared" si="9"/>
        <v>0.18181818181818182</v>
      </c>
      <c r="Y31" s="1">
        <f t="shared" si="10"/>
        <v>0.81818181818181812</v>
      </c>
      <c r="Z31" s="1">
        <f t="shared" si="11"/>
        <v>4.332825162480944</v>
      </c>
      <c r="AA31" s="7">
        <f t="shared" si="12"/>
        <v>27.166412581240472</v>
      </c>
      <c r="AB31" s="6">
        <f t="shared" si="13"/>
        <v>0.18181818181818182</v>
      </c>
      <c r="AC31" s="1">
        <f t="shared" si="14"/>
        <v>0.81818181818181812</v>
      </c>
      <c r="AD31" s="1">
        <f t="shared" si="15"/>
        <v>3.6106876354007862</v>
      </c>
      <c r="AE31" s="7">
        <f t="shared" si="16"/>
        <v>26.805343817700393</v>
      </c>
      <c r="AF31" s="6">
        <f t="shared" si="17"/>
        <v>0.21818181818181817</v>
      </c>
      <c r="AG31" s="1">
        <f t="shared" si="18"/>
        <v>0.78181818181818186</v>
      </c>
      <c r="AH31" s="1">
        <f t="shared" si="23"/>
        <v>4.1402551552595686</v>
      </c>
      <c r="AI31" s="7">
        <f t="shared" si="24"/>
        <v>27.070127577629783</v>
      </c>
      <c r="AJ31" s="6">
        <f t="shared" si="19"/>
        <v>0.23636363636363636</v>
      </c>
      <c r="AK31" s="1">
        <f t="shared" si="20"/>
        <v>0.76363636363636367</v>
      </c>
      <c r="AL31" s="1">
        <f t="shared" si="21"/>
        <v>4.3809676642862874</v>
      </c>
      <c r="AM31" s="7">
        <f t="shared" si="22"/>
        <v>27.190483832143144</v>
      </c>
    </row>
    <row r="32" spans="1:39">
      <c r="A32" s="33" t="s">
        <v>132</v>
      </c>
      <c r="B32" s="50">
        <f>VCS_Max/Rcs</f>
        <v>50</v>
      </c>
      <c r="C32" s="33" t="s">
        <v>4</v>
      </c>
      <c r="E32" s="36" t="s">
        <v>163</v>
      </c>
      <c r="N32">
        <v>2.5999999999999999E-2</v>
      </c>
      <c r="O32">
        <f t="shared" si="0"/>
        <v>26</v>
      </c>
      <c r="P32" s="6">
        <f t="shared" si="1"/>
        <v>0.24</v>
      </c>
      <c r="Q32" s="1">
        <f t="shared" si="2"/>
        <v>0.76</v>
      </c>
      <c r="R32" s="1">
        <f t="shared" si="3"/>
        <v>4.0247131509267424</v>
      </c>
      <c r="S32" s="7">
        <f t="shared" si="4"/>
        <v>28.012356575463372</v>
      </c>
      <c r="T32" s="6">
        <f t="shared" si="5"/>
        <v>0.21818181818181817</v>
      </c>
      <c r="U32" s="1">
        <f t="shared" si="6"/>
        <v>0.78181818181818186</v>
      </c>
      <c r="V32" s="1">
        <f t="shared" si="7"/>
        <v>4.1402551552595686</v>
      </c>
      <c r="W32" s="7">
        <f t="shared" si="8"/>
        <v>28.070127577629783</v>
      </c>
      <c r="X32" s="6">
        <f t="shared" si="9"/>
        <v>0.18181818181818182</v>
      </c>
      <c r="Y32" s="1">
        <f t="shared" si="10"/>
        <v>0.81818181818181812</v>
      </c>
      <c r="Z32" s="1">
        <f t="shared" si="11"/>
        <v>4.332825162480944</v>
      </c>
      <c r="AA32" s="7">
        <f t="shared" si="12"/>
        <v>28.166412581240472</v>
      </c>
      <c r="AB32" s="6">
        <f t="shared" si="13"/>
        <v>0.18181818181818182</v>
      </c>
      <c r="AC32" s="1">
        <f t="shared" si="14"/>
        <v>0.81818181818181812</v>
      </c>
      <c r="AD32" s="1">
        <f t="shared" si="15"/>
        <v>3.6106876354007862</v>
      </c>
      <c r="AE32" s="7">
        <f t="shared" si="16"/>
        <v>27.805343817700393</v>
      </c>
      <c r="AF32" s="6">
        <f t="shared" si="17"/>
        <v>0.21818181818181817</v>
      </c>
      <c r="AG32" s="1">
        <f t="shared" si="18"/>
        <v>0.78181818181818186</v>
      </c>
      <c r="AH32" s="1">
        <f t="shared" si="23"/>
        <v>4.1402551552595686</v>
      </c>
      <c r="AI32" s="7">
        <f t="shared" si="24"/>
        <v>28.070127577629783</v>
      </c>
      <c r="AJ32" s="6">
        <f t="shared" si="19"/>
        <v>0.23636363636363636</v>
      </c>
      <c r="AK32" s="1">
        <f t="shared" si="20"/>
        <v>0.76363636363636367</v>
      </c>
      <c r="AL32" s="1">
        <f t="shared" si="21"/>
        <v>4.3809676642862874</v>
      </c>
      <c r="AM32" s="7">
        <f t="shared" si="22"/>
        <v>28.190483832143144</v>
      </c>
    </row>
    <row r="33" spans="1:39">
      <c r="A33" s="33" t="s">
        <v>130</v>
      </c>
      <c r="B33" s="48">
        <f>V12_Nom*B32</f>
        <v>600</v>
      </c>
      <c r="C33" s="33" t="s">
        <v>124</v>
      </c>
      <c r="E33" s="36" t="s">
        <v>167</v>
      </c>
      <c r="N33">
        <v>2.7E-2</v>
      </c>
      <c r="O33">
        <f t="shared" si="0"/>
        <v>27</v>
      </c>
      <c r="P33" s="6">
        <f t="shared" si="1"/>
        <v>0.24</v>
      </c>
      <c r="Q33" s="1">
        <f t="shared" si="2"/>
        <v>0.76</v>
      </c>
      <c r="R33" s="1">
        <f t="shared" si="3"/>
        <v>4.0247131509267424</v>
      </c>
      <c r="S33" s="7">
        <f t="shared" si="4"/>
        <v>29.012356575463372</v>
      </c>
      <c r="T33" s="6">
        <f t="shared" si="5"/>
        <v>0.21818181818181817</v>
      </c>
      <c r="U33" s="1">
        <f t="shared" si="6"/>
        <v>0.78181818181818186</v>
      </c>
      <c r="V33" s="1">
        <f t="shared" si="7"/>
        <v>4.1402551552595686</v>
      </c>
      <c r="W33" s="7">
        <f t="shared" si="8"/>
        <v>29.070127577629783</v>
      </c>
      <c r="X33" s="6">
        <f t="shared" si="9"/>
        <v>0.18181818181818182</v>
      </c>
      <c r="Y33" s="1">
        <f t="shared" si="10"/>
        <v>0.81818181818181812</v>
      </c>
      <c r="Z33" s="1">
        <f t="shared" si="11"/>
        <v>4.332825162480944</v>
      </c>
      <c r="AA33" s="7">
        <f t="shared" si="12"/>
        <v>29.166412581240472</v>
      </c>
      <c r="AB33" s="6">
        <f t="shared" si="13"/>
        <v>0.18181818181818182</v>
      </c>
      <c r="AC33" s="1">
        <f t="shared" si="14"/>
        <v>0.81818181818181812</v>
      </c>
      <c r="AD33" s="1">
        <f t="shared" si="15"/>
        <v>3.6106876354007862</v>
      </c>
      <c r="AE33" s="7">
        <f t="shared" si="16"/>
        <v>28.805343817700393</v>
      </c>
      <c r="AF33" s="6">
        <f t="shared" si="17"/>
        <v>0.21818181818181817</v>
      </c>
      <c r="AG33" s="1">
        <f t="shared" si="18"/>
        <v>0.78181818181818186</v>
      </c>
      <c r="AH33" s="1">
        <f t="shared" si="23"/>
        <v>4.1402551552595686</v>
      </c>
      <c r="AI33" s="7">
        <f t="shared" si="24"/>
        <v>29.070127577629783</v>
      </c>
      <c r="AJ33" s="6">
        <f t="shared" si="19"/>
        <v>0.23636363636363636</v>
      </c>
      <c r="AK33" s="1">
        <f t="shared" si="20"/>
        <v>0.76363636363636367</v>
      </c>
      <c r="AL33" s="1">
        <f t="shared" si="21"/>
        <v>4.3809676642862874</v>
      </c>
      <c r="AM33" s="7">
        <f t="shared" si="22"/>
        <v>29.190483832143144</v>
      </c>
    </row>
    <row r="34" spans="1:39">
      <c r="A34" s="33" t="s">
        <v>134</v>
      </c>
      <c r="B34" s="48">
        <f>I_Channel*np</f>
        <v>100</v>
      </c>
      <c r="C34" s="33" t="s">
        <v>4</v>
      </c>
      <c r="E34" s="36" t="s">
        <v>168</v>
      </c>
      <c r="N34">
        <v>2.8000000000000001E-2</v>
      </c>
      <c r="O34">
        <f t="shared" si="0"/>
        <v>28</v>
      </c>
      <c r="P34" s="6">
        <f t="shared" si="1"/>
        <v>0.24</v>
      </c>
      <c r="Q34" s="1">
        <f t="shared" si="2"/>
        <v>0.76</v>
      </c>
      <c r="R34" s="1">
        <f t="shared" si="3"/>
        <v>4.0247131509267424</v>
      </c>
      <c r="S34" s="7">
        <f t="shared" si="4"/>
        <v>30.012356575463372</v>
      </c>
      <c r="T34" s="6">
        <f t="shared" si="5"/>
        <v>0.21818181818181817</v>
      </c>
      <c r="U34" s="1">
        <f t="shared" si="6"/>
        <v>0.78181818181818186</v>
      </c>
      <c r="V34" s="1">
        <f t="shared" si="7"/>
        <v>4.1402551552595686</v>
      </c>
      <c r="W34" s="7">
        <f t="shared" si="8"/>
        <v>30.070127577629783</v>
      </c>
      <c r="X34" s="6">
        <f t="shared" si="9"/>
        <v>0.18181818181818182</v>
      </c>
      <c r="Y34" s="1">
        <f t="shared" si="10"/>
        <v>0.81818181818181812</v>
      </c>
      <c r="Z34" s="1">
        <f t="shared" si="11"/>
        <v>4.332825162480944</v>
      </c>
      <c r="AA34" s="7">
        <f t="shared" si="12"/>
        <v>30.166412581240472</v>
      </c>
      <c r="AB34" s="6">
        <f t="shared" si="13"/>
        <v>0.18181818181818182</v>
      </c>
      <c r="AC34" s="1">
        <f t="shared" si="14"/>
        <v>0.81818181818181812</v>
      </c>
      <c r="AD34" s="1">
        <f t="shared" si="15"/>
        <v>3.6106876354007862</v>
      </c>
      <c r="AE34" s="7">
        <f t="shared" si="16"/>
        <v>29.805343817700393</v>
      </c>
      <c r="AF34" s="6">
        <f t="shared" si="17"/>
        <v>0.21818181818181817</v>
      </c>
      <c r="AG34" s="1">
        <f t="shared" si="18"/>
        <v>0.78181818181818186</v>
      </c>
      <c r="AH34" s="1">
        <f t="shared" si="23"/>
        <v>4.1402551552595686</v>
      </c>
      <c r="AI34" s="7">
        <f t="shared" si="24"/>
        <v>30.070127577629783</v>
      </c>
      <c r="AJ34" s="6">
        <f t="shared" si="19"/>
        <v>0.23636363636363636</v>
      </c>
      <c r="AK34" s="1">
        <f t="shared" si="20"/>
        <v>0.76363636363636367</v>
      </c>
      <c r="AL34" s="1">
        <f t="shared" si="21"/>
        <v>4.3809676642862874</v>
      </c>
      <c r="AM34" s="7">
        <f t="shared" si="22"/>
        <v>30.190483832143144</v>
      </c>
    </row>
    <row r="35" spans="1:39">
      <c r="A35" s="33" t="s">
        <v>135</v>
      </c>
      <c r="B35" s="48">
        <f>B33*np</f>
        <v>1200</v>
      </c>
      <c r="C35" s="33" t="s">
        <v>124</v>
      </c>
      <c r="E35" s="36" t="s">
        <v>169</v>
      </c>
      <c r="N35">
        <v>2.9000000000000001E-2</v>
      </c>
      <c r="O35">
        <f t="shared" si="0"/>
        <v>29</v>
      </c>
      <c r="P35" s="6">
        <f t="shared" si="1"/>
        <v>0.24</v>
      </c>
      <c r="Q35" s="1">
        <f t="shared" si="2"/>
        <v>0.76</v>
      </c>
      <c r="R35" s="1">
        <f t="shared" si="3"/>
        <v>4.0247131509267424</v>
      </c>
      <c r="S35" s="7">
        <f t="shared" si="4"/>
        <v>31.012356575463372</v>
      </c>
      <c r="T35" s="6">
        <f t="shared" si="5"/>
        <v>0.21818181818181817</v>
      </c>
      <c r="U35" s="1">
        <f t="shared" si="6"/>
        <v>0.78181818181818186</v>
      </c>
      <c r="V35" s="1">
        <f t="shared" si="7"/>
        <v>4.1402551552595686</v>
      </c>
      <c r="W35" s="7">
        <f t="shared" si="8"/>
        <v>31.070127577629783</v>
      </c>
      <c r="X35" s="6">
        <f t="shared" si="9"/>
        <v>0.18181818181818182</v>
      </c>
      <c r="Y35" s="1">
        <f t="shared" si="10"/>
        <v>0.81818181818181812</v>
      </c>
      <c r="Z35" s="1">
        <f t="shared" si="11"/>
        <v>4.332825162480944</v>
      </c>
      <c r="AA35" s="7">
        <f t="shared" si="12"/>
        <v>31.166412581240472</v>
      </c>
      <c r="AB35" s="6">
        <f t="shared" si="13"/>
        <v>0.18181818181818182</v>
      </c>
      <c r="AC35" s="1">
        <f t="shared" si="14"/>
        <v>0.81818181818181812</v>
      </c>
      <c r="AD35" s="1">
        <f t="shared" si="15"/>
        <v>3.6106876354007862</v>
      </c>
      <c r="AE35" s="7">
        <f t="shared" si="16"/>
        <v>30.805343817700393</v>
      </c>
      <c r="AF35" s="6">
        <f t="shared" si="17"/>
        <v>0.21818181818181817</v>
      </c>
      <c r="AG35" s="1">
        <f t="shared" si="18"/>
        <v>0.78181818181818186</v>
      </c>
      <c r="AH35" s="1">
        <f t="shared" si="23"/>
        <v>4.1402551552595686</v>
      </c>
      <c r="AI35" s="7">
        <f t="shared" si="24"/>
        <v>31.070127577629783</v>
      </c>
      <c r="AJ35" s="6">
        <f t="shared" si="19"/>
        <v>0.23636363636363636</v>
      </c>
      <c r="AK35" s="1">
        <f t="shared" si="20"/>
        <v>0.76363636363636367</v>
      </c>
      <c r="AL35" s="1">
        <f t="shared" si="21"/>
        <v>4.3809676642862874</v>
      </c>
      <c r="AM35" s="7">
        <f t="shared" si="22"/>
        <v>31.190483832143144</v>
      </c>
    </row>
    <row r="36" spans="1:39">
      <c r="N36">
        <v>0.03</v>
      </c>
      <c r="O36">
        <f t="shared" si="0"/>
        <v>30</v>
      </c>
      <c r="P36" s="6">
        <f t="shared" si="1"/>
        <v>0.24</v>
      </c>
      <c r="Q36" s="1">
        <f t="shared" si="2"/>
        <v>0.76</v>
      </c>
      <c r="R36" s="1">
        <f t="shared" si="3"/>
        <v>4.0247131509267424</v>
      </c>
      <c r="S36" s="7">
        <f t="shared" si="4"/>
        <v>32.012356575463372</v>
      </c>
      <c r="T36" s="6">
        <f t="shared" si="5"/>
        <v>0.21818181818181817</v>
      </c>
      <c r="U36" s="1">
        <f t="shared" si="6"/>
        <v>0.78181818181818186</v>
      </c>
      <c r="V36" s="1">
        <f t="shared" si="7"/>
        <v>4.1402551552595686</v>
      </c>
      <c r="W36" s="7">
        <f t="shared" si="8"/>
        <v>32.070127577629783</v>
      </c>
      <c r="X36" s="6">
        <f t="shared" si="9"/>
        <v>0.18181818181818182</v>
      </c>
      <c r="Y36" s="1">
        <f t="shared" si="10"/>
        <v>0.81818181818181812</v>
      </c>
      <c r="Z36" s="1">
        <f t="shared" si="11"/>
        <v>4.332825162480944</v>
      </c>
      <c r="AA36" s="7">
        <f t="shared" si="12"/>
        <v>32.166412581240472</v>
      </c>
      <c r="AB36" s="6">
        <f t="shared" si="13"/>
        <v>0.18181818181818182</v>
      </c>
      <c r="AC36" s="1">
        <f t="shared" si="14"/>
        <v>0.81818181818181812</v>
      </c>
      <c r="AD36" s="1">
        <f t="shared" si="15"/>
        <v>3.6106876354007862</v>
      </c>
      <c r="AE36" s="7">
        <f t="shared" si="16"/>
        <v>31.805343817700393</v>
      </c>
      <c r="AF36" s="6">
        <f t="shared" si="17"/>
        <v>0.21818181818181817</v>
      </c>
      <c r="AG36" s="1">
        <f t="shared" si="18"/>
        <v>0.78181818181818186</v>
      </c>
      <c r="AH36" s="1">
        <f t="shared" si="23"/>
        <v>4.1402551552595686</v>
      </c>
      <c r="AI36" s="7">
        <f t="shared" si="24"/>
        <v>32.070127577629783</v>
      </c>
      <c r="AJ36" s="6">
        <f t="shared" si="19"/>
        <v>0.23636363636363636</v>
      </c>
      <c r="AK36" s="1">
        <f t="shared" si="20"/>
        <v>0.76363636363636367</v>
      </c>
      <c r="AL36" s="1">
        <f t="shared" si="21"/>
        <v>4.3809676642862874</v>
      </c>
      <c r="AM36" s="7">
        <f t="shared" si="22"/>
        <v>32.190483832143144</v>
      </c>
    </row>
    <row r="37" spans="1:39">
      <c r="N37">
        <v>3.1E-2</v>
      </c>
      <c r="O37">
        <f t="shared" si="0"/>
        <v>31</v>
      </c>
      <c r="P37" s="6">
        <f t="shared" si="1"/>
        <v>0.24</v>
      </c>
      <c r="Q37" s="1">
        <f t="shared" si="2"/>
        <v>0.76</v>
      </c>
      <c r="R37" s="1">
        <f t="shared" si="3"/>
        <v>4.0247131509267424</v>
      </c>
      <c r="S37" s="7">
        <f t="shared" si="4"/>
        <v>33.012356575463372</v>
      </c>
      <c r="T37" s="6">
        <f t="shared" si="5"/>
        <v>0.21818181818181817</v>
      </c>
      <c r="U37" s="1">
        <f t="shared" si="6"/>
        <v>0.78181818181818186</v>
      </c>
      <c r="V37" s="1">
        <f t="shared" si="7"/>
        <v>4.1402551552595686</v>
      </c>
      <c r="W37" s="7">
        <f t="shared" si="8"/>
        <v>33.070127577629783</v>
      </c>
      <c r="X37" s="6">
        <f t="shared" si="9"/>
        <v>0.18181818181818182</v>
      </c>
      <c r="Y37" s="1">
        <f t="shared" si="10"/>
        <v>0.81818181818181812</v>
      </c>
      <c r="Z37" s="1">
        <f t="shared" si="11"/>
        <v>4.332825162480944</v>
      </c>
      <c r="AA37" s="7">
        <f t="shared" si="12"/>
        <v>33.166412581240472</v>
      </c>
      <c r="AB37" s="6">
        <f t="shared" si="13"/>
        <v>0.18181818181818182</v>
      </c>
      <c r="AC37" s="1">
        <f t="shared" si="14"/>
        <v>0.81818181818181812</v>
      </c>
      <c r="AD37" s="1">
        <f t="shared" si="15"/>
        <v>3.6106876354007862</v>
      </c>
      <c r="AE37" s="7">
        <f t="shared" si="16"/>
        <v>32.80534381770039</v>
      </c>
      <c r="AF37" s="6">
        <f t="shared" si="17"/>
        <v>0.21818181818181817</v>
      </c>
      <c r="AG37" s="1">
        <f t="shared" si="18"/>
        <v>0.78181818181818186</v>
      </c>
      <c r="AH37" s="1">
        <f t="shared" si="23"/>
        <v>4.1402551552595686</v>
      </c>
      <c r="AI37" s="7">
        <f t="shared" si="24"/>
        <v>33.070127577629783</v>
      </c>
      <c r="AJ37" s="6">
        <f t="shared" si="19"/>
        <v>0.23636363636363636</v>
      </c>
      <c r="AK37" s="1">
        <f t="shared" si="20"/>
        <v>0.76363636363636367</v>
      </c>
      <c r="AL37" s="1">
        <f t="shared" si="21"/>
        <v>4.3809676642862874</v>
      </c>
      <c r="AM37" s="7">
        <f t="shared" si="22"/>
        <v>33.190483832143144</v>
      </c>
    </row>
    <row r="38" spans="1:39">
      <c r="A38" s="34" t="s">
        <v>136</v>
      </c>
      <c r="B38" s="51"/>
      <c r="C38" s="33"/>
      <c r="N38">
        <v>3.2000000000000001E-2</v>
      </c>
      <c r="O38">
        <f t="shared" ref="O38:O56" si="25">N38/Rcs</f>
        <v>32</v>
      </c>
      <c r="P38" s="6">
        <f t="shared" ref="P38:P56" si="26">IF($O38&lt;((V48_Min-V12_Nom)*V12_Nom)/((2*Lm*Fsw)*V48_Min),SQRT((2*$O38*Lm*Fsw*V12_Nom)/(V48_Min*(V48_Min-V12_Nom))),(V12_Nom/V48_Min))</f>
        <v>0.24</v>
      </c>
      <c r="Q38" s="1">
        <f t="shared" ref="Q38:Q56" si="27">IF($O38&lt;((V48_Min-V12_Nom)*V12_Nom)/((2*Lm*Fsw)*V48_Min),SQRT((2*$O38*Lm*Fsw*V12_Nom)/(V48_Min*(V48_Min-V12_Nom)))*((V48_Min-V12_Nom)/(V12_Nom)),1-(V12_Nom/V48_Min))</f>
        <v>0.76</v>
      </c>
      <c r="R38" s="1">
        <f t="shared" ref="R38:R56" si="28">IF($O38&lt;((V48_Min-V12_Nom)*V12_Nom)/((2*Lm*Fsw)*V48_Min),(P38/(Fsw*Lm))*(V48_Min-V12_Nom),((P38/(Fsw*Lm))*(V48_Min-V12_Nom)))</f>
        <v>4.0247131509267424</v>
      </c>
      <c r="S38" s="7">
        <f t="shared" ref="S38:S56" si="29">IF($O38&lt;((V48_Min-V12_Nom)*V12_Nom)/((2*Lm*Fsw)*V48_Min),(P38/(Fsw*Lm))*(V48_Min-V12_Nom),(R38/2)+$O38)</f>
        <v>34.012356575463372</v>
      </c>
      <c r="T38" s="6">
        <f t="shared" ref="T38:T56" si="30">IF($O38&lt;((V48_Nom-V12_Nom)*V12_Nom)/((2*Lm*Fsw)*V48_Nom),SQRT((2*$O38*Lm*Fsw*V12_Nom)/(V48_Nom*(V48_Nom-V12_Nom))),(V12_Nom/V48_Nom))</f>
        <v>0.21818181818181817</v>
      </c>
      <c r="U38" s="1">
        <f t="shared" ref="U38:U56" si="31">IF($O38&lt;((V48_Nom-V12_Nom)*V12_Nom)/((2*Lm*Fsw)*V48_Nom),SQRT((2*$O38*Lm*Fsw*V12_Nom)/(V48_Nom*(V48_Nom-V12_Nom)))*((V48_Nom-V12_Nom)/(V12_Nom)),1-(V12_Nom/V48_Nom))</f>
        <v>0.78181818181818186</v>
      </c>
      <c r="V38" s="1">
        <f t="shared" ref="V38:V56" si="32">IF($O38&lt;((V48_Nom-V12_Nom)*V12_Nom)/((2*Lm*Fsw)*V48_Nom),(T38/(Fsw*Lm))*(V48_Nom-V12_Nom),((T38/(Fsw*Lm))*(V48_Nom-V12_Nom)))</f>
        <v>4.1402551552595686</v>
      </c>
      <c r="W38" s="7">
        <f t="shared" ref="W38:W56" si="33">IF($O38&lt;((V48_Nom-V12_Nom)*V12_Nom)/((2*Lm*Fsw)*V48_Nom),(T38/(Fsw*Lm))*(V48_Nom-V12_Nom),(V38/2)+$O38)</f>
        <v>34.070127577629783</v>
      </c>
      <c r="X38" s="6">
        <f t="shared" ref="X38:X56" si="34">IF($O38&lt;((V48_Max-V12_Nom)*V12_Nom)/((2*Lm*Fsw)*V48_Max),SQRT((2*$O38*Lm*Fsw*V12_Nom)/(V48_Max*(V48_Max-V12_Nom))),(V12_Nom/V48_Max))</f>
        <v>0.18181818181818182</v>
      </c>
      <c r="Y38" s="1">
        <f t="shared" ref="Y38:Y56" si="35">IF($O38&lt;((V48_Max-V12_Nom)*V12_Nom)/((2*Lm*Fsw)*V48_Max),SQRT((2*$O38*Lm*Fsw*V12_Nom)/(V48_Max*(V48_Max-V12_Nom)))*((V48_Max-V12_Nom)/(V12_Nom)),1-(V12_Nom/V48_Max))</f>
        <v>0.81818181818181812</v>
      </c>
      <c r="Z38" s="1">
        <f t="shared" ref="Z38:Z56" si="36">IF($O38&lt;((V48_Max-V12_Nom)*V12_Nom)/((2*Lm*Fsw)*V48_Max),(X38/(Fsw*Lm))*(V48_Max-V12_Nom),((X38/(Fsw*Lm))*(V48_Max-V12_Nom)))</f>
        <v>4.332825162480944</v>
      </c>
      <c r="AA38" s="7">
        <f t="shared" ref="AA38:AA56" si="37">IF($O38&lt;((V48_Max-V12_Nom)*V12_Nom)/((2*Lm*Fsw)*V48_Max),(X38/(Fsw*Lm))*(V48_Max-V12_Nom),(Z38/2)+$O38)</f>
        <v>34.166412581240472</v>
      </c>
      <c r="AB38" s="6">
        <f t="shared" ref="AB38:AB56" si="38">IF($O38&lt;((V48_Nom-V12_Min)*V12_Min)/((2*Lm*Fsw)*V48_Nom),SQRT((2*$O38*Lm*Fsw*V12_Min)/(V48_Nom*(V48_Nom-V12_Min))),(V12_Min/V48_Nom))</f>
        <v>0.18181818181818182</v>
      </c>
      <c r="AC38" s="1">
        <f t="shared" ref="AC38:AC56" si="39">IF($O38&lt;((V48_Nom-V12_Min)*V12_Min)/((2*Lm*Fsw)*V48_Nom),SQRT((2*$O38*Lm*Fsw*V12_Min)/(V48_Nom*(V48_Nom-V12_Min)))*((V48_Nom-V12_Min)/(V12_Min)),1-(V12_Min/V48_Nom))</f>
        <v>0.81818181818181812</v>
      </c>
      <c r="AD38" s="1">
        <f t="shared" ref="AD38:AD56" si="40">IF($O38&lt;((V48_Nom-V12_Min)*V12_Min)/((2*Lm*Fsw)*V48_Nom),(AB38/(Fsw*Lm))*(V48_Nom-V12_Min),((AB38/(Fsw*Lm))*(V48_Nom-V12_Min)))</f>
        <v>3.6106876354007862</v>
      </c>
      <c r="AE38" s="7">
        <f t="shared" ref="AE38:AE56" si="41">IF($O38&lt;((V48_Nom-V12_Min)*V12_Min)/((2*Lm*Fsw)*V48_Nom),(AB38/(Fsw*Lm))*(V48_Nom-V12_Min),(AD38/2)+$O38)</f>
        <v>33.80534381770039</v>
      </c>
      <c r="AF38" s="6">
        <f t="shared" si="17"/>
        <v>0.21818181818181817</v>
      </c>
      <c r="AG38" s="1">
        <f t="shared" si="18"/>
        <v>0.78181818181818186</v>
      </c>
      <c r="AH38" s="1">
        <f t="shared" si="23"/>
        <v>4.1402551552595686</v>
      </c>
      <c r="AI38" s="7">
        <f t="shared" si="24"/>
        <v>34.070127577629783</v>
      </c>
      <c r="AJ38" s="6">
        <f t="shared" ref="AJ38:AJ56" si="42">IF($O38&lt;((V48_Nom-V12_Max)*V12_Max)/((2*Lm*Fsw)*V48_Nom),SQRT((2*$O38*Lm*Fsw*V12_Max)/(V48_Nom*(V48_Nom-V12_Max))),(V12_Max/V48_Nom))</f>
        <v>0.23636363636363636</v>
      </c>
      <c r="AK38" s="1">
        <f t="shared" ref="AK38:AK56" si="43">IF($O38&lt;((V48_Nom-V12_Max)*V12_Max)/((2*Lm*Fsw)*V48_Nom),SQRT((2*$O38*Lm*Fsw*V12_Max)/(V48_Nom*(V48_Nom-V12_Max)))*((V48_Nom-V12_Max)/(V12_Max)),1-(V12_Max/V48_Nom))</f>
        <v>0.76363636363636367</v>
      </c>
      <c r="AL38" s="1">
        <f t="shared" ref="AL38:AL56" si="44">IF($O38&lt;((V48_Nom-V12_Max)*V12_Max)/((2*Lm*Fsw)*V48_Nom),(AJ38/(Fsw*Lm))*(V48_Nom-V12_Max),((AJ38/(Fsw*Lm))*(V48_Nom-V12_Max)))</f>
        <v>4.3809676642862874</v>
      </c>
      <c r="AM38" s="7">
        <f t="shared" ref="AM38:AM56" si="45">IF($O38&lt;((V48_Nom-V12_Max)*V12_Max)/((2*Lm*Fsw)*V48_Nom),(AJ38/(Fsw*Lm))*(V48_Nom-V12_Max),(AL38/2)+$O38)</f>
        <v>34.190483832143144</v>
      </c>
    </row>
    <row r="39" spans="1:39">
      <c r="A39" s="33" t="s">
        <v>139</v>
      </c>
      <c r="B39" s="47">
        <f>Design_Converter!B36/100</f>
        <v>0.75</v>
      </c>
      <c r="C39" s="33"/>
      <c r="E39" s="36" t="s">
        <v>170</v>
      </c>
      <c r="N39">
        <v>3.3000000000000002E-2</v>
      </c>
      <c r="O39">
        <f t="shared" si="25"/>
        <v>33</v>
      </c>
      <c r="P39" s="6">
        <f t="shared" si="26"/>
        <v>0.24</v>
      </c>
      <c r="Q39" s="1">
        <f t="shared" si="27"/>
        <v>0.76</v>
      </c>
      <c r="R39" s="1">
        <f t="shared" si="28"/>
        <v>4.0247131509267424</v>
      </c>
      <c r="S39" s="7">
        <f t="shared" si="29"/>
        <v>35.012356575463372</v>
      </c>
      <c r="T39" s="6">
        <f t="shared" si="30"/>
        <v>0.21818181818181817</v>
      </c>
      <c r="U39" s="1">
        <f t="shared" si="31"/>
        <v>0.78181818181818186</v>
      </c>
      <c r="V39" s="1">
        <f t="shared" si="32"/>
        <v>4.1402551552595686</v>
      </c>
      <c r="W39" s="7">
        <f t="shared" si="33"/>
        <v>35.070127577629783</v>
      </c>
      <c r="X39" s="6">
        <f t="shared" si="34"/>
        <v>0.18181818181818182</v>
      </c>
      <c r="Y39" s="1">
        <f t="shared" si="35"/>
        <v>0.81818181818181812</v>
      </c>
      <c r="Z39" s="1">
        <f t="shared" si="36"/>
        <v>4.332825162480944</v>
      </c>
      <c r="AA39" s="7">
        <f t="shared" si="37"/>
        <v>35.166412581240472</v>
      </c>
      <c r="AB39" s="6">
        <f t="shared" si="38"/>
        <v>0.18181818181818182</v>
      </c>
      <c r="AC39" s="1">
        <f t="shared" si="39"/>
        <v>0.81818181818181812</v>
      </c>
      <c r="AD39" s="1">
        <f t="shared" si="40"/>
        <v>3.6106876354007862</v>
      </c>
      <c r="AE39" s="7">
        <f t="shared" si="41"/>
        <v>34.80534381770039</v>
      </c>
      <c r="AF39" s="6">
        <f t="shared" si="17"/>
        <v>0.21818181818181817</v>
      </c>
      <c r="AG39" s="1">
        <f t="shared" si="18"/>
        <v>0.78181818181818186</v>
      </c>
      <c r="AH39" s="1">
        <f t="shared" si="23"/>
        <v>4.1402551552595686</v>
      </c>
      <c r="AI39" s="7">
        <f t="shared" si="24"/>
        <v>35.070127577629783</v>
      </c>
      <c r="AJ39" s="6">
        <f t="shared" si="42"/>
        <v>0.23636363636363636</v>
      </c>
      <c r="AK39" s="1">
        <f t="shared" si="43"/>
        <v>0.76363636363636367</v>
      </c>
      <c r="AL39" s="1">
        <f t="shared" si="44"/>
        <v>4.3809676642862874</v>
      </c>
      <c r="AM39" s="7">
        <f t="shared" si="45"/>
        <v>35.190483832143144</v>
      </c>
    </row>
    <row r="40" spans="1:39">
      <c r="A40" s="183" t="s">
        <v>378</v>
      </c>
      <c r="B40" s="52">
        <f>(V48_Max-V12_Nom)*(V12_Nom/V48_Max)/((B25)*(B39)*Fsw)*(1000000)</f>
        <v>21.18270079435128</v>
      </c>
      <c r="C40" s="33" t="s">
        <v>6</v>
      </c>
      <c r="E40" s="36" t="s">
        <v>382</v>
      </c>
      <c r="N40">
        <v>3.4000000000000002E-2</v>
      </c>
      <c r="O40">
        <f t="shared" si="25"/>
        <v>34</v>
      </c>
      <c r="P40" s="6">
        <f t="shared" si="26"/>
        <v>0.24</v>
      </c>
      <c r="Q40" s="1">
        <f t="shared" si="27"/>
        <v>0.76</v>
      </c>
      <c r="R40" s="1">
        <f t="shared" si="28"/>
        <v>4.0247131509267424</v>
      </c>
      <c r="S40" s="7">
        <f t="shared" si="29"/>
        <v>36.012356575463372</v>
      </c>
      <c r="T40" s="6">
        <f t="shared" si="30"/>
        <v>0.21818181818181817</v>
      </c>
      <c r="U40" s="1">
        <f t="shared" si="31"/>
        <v>0.78181818181818186</v>
      </c>
      <c r="V40" s="1">
        <f t="shared" si="32"/>
        <v>4.1402551552595686</v>
      </c>
      <c r="W40" s="7">
        <f t="shared" si="33"/>
        <v>36.070127577629783</v>
      </c>
      <c r="X40" s="6">
        <f t="shared" si="34"/>
        <v>0.18181818181818182</v>
      </c>
      <c r="Y40" s="1">
        <f t="shared" si="35"/>
        <v>0.81818181818181812</v>
      </c>
      <c r="Z40" s="1">
        <f t="shared" si="36"/>
        <v>4.332825162480944</v>
      </c>
      <c r="AA40" s="7">
        <f t="shared" si="37"/>
        <v>36.166412581240472</v>
      </c>
      <c r="AB40" s="6">
        <f t="shared" si="38"/>
        <v>0.18181818181818182</v>
      </c>
      <c r="AC40" s="1">
        <f t="shared" si="39"/>
        <v>0.81818181818181812</v>
      </c>
      <c r="AD40" s="1">
        <f t="shared" si="40"/>
        <v>3.6106876354007862</v>
      </c>
      <c r="AE40" s="7">
        <f t="shared" si="41"/>
        <v>35.80534381770039</v>
      </c>
      <c r="AF40" s="6">
        <f t="shared" si="17"/>
        <v>0.21818181818181817</v>
      </c>
      <c r="AG40" s="1">
        <f t="shared" si="18"/>
        <v>0.78181818181818186</v>
      </c>
      <c r="AH40" s="1">
        <f t="shared" si="23"/>
        <v>4.1402551552595686</v>
      </c>
      <c r="AI40" s="7">
        <f t="shared" si="24"/>
        <v>36.070127577629783</v>
      </c>
      <c r="AJ40" s="6">
        <f t="shared" si="42"/>
        <v>0.23636363636363636</v>
      </c>
      <c r="AK40" s="1">
        <f t="shared" si="43"/>
        <v>0.76363636363636367</v>
      </c>
      <c r="AL40" s="1">
        <f t="shared" si="44"/>
        <v>4.3809676642862874</v>
      </c>
      <c r="AM40" s="7">
        <f t="shared" si="45"/>
        <v>36.190483832143144</v>
      </c>
    </row>
    <row r="41" spans="1:39">
      <c r="A41" s="183" t="s">
        <v>379</v>
      </c>
      <c r="B41" s="52"/>
      <c r="C41" s="33" t="s">
        <v>6</v>
      </c>
      <c r="E41" s="36" t="s">
        <v>377</v>
      </c>
      <c r="N41">
        <v>3.5000000000000003E-2</v>
      </c>
      <c r="O41">
        <f t="shared" si="25"/>
        <v>35</v>
      </c>
      <c r="P41" s="6">
        <f t="shared" si="26"/>
        <v>0.24</v>
      </c>
      <c r="Q41" s="1">
        <f t="shared" si="27"/>
        <v>0.76</v>
      </c>
      <c r="R41" s="1">
        <f t="shared" si="28"/>
        <v>4.0247131509267424</v>
      </c>
      <c r="S41" s="7">
        <f t="shared" si="29"/>
        <v>37.012356575463372</v>
      </c>
      <c r="T41" s="6">
        <f t="shared" si="30"/>
        <v>0.21818181818181817</v>
      </c>
      <c r="U41" s="1">
        <f t="shared" si="31"/>
        <v>0.78181818181818186</v>
      </c>
      <c r="V41" s="1">
        <f t="shared" si="32"/>
        <v>4.1402551552595686</v>
      </c>
      <c r="W41" s="7">
        <f t="shared" si="33"/>
        <v>37.070127577629783</v>
      </c>
      <c r="X41" s="6">
        <f t="shared" si="34"/>
        <v>0.18181818181818182</v>
      </c>
      <c r="Y41" s="1">
        <f t="shared" si="35"/>
        <v>0.81818181818181812</v>
      </c>
      <c r="Z41" s="1">
        <f t="shared" si="36"/>
        <v>4.332825162480944</v>
      </c>
      <c r="AA41" s="7">
        <f t="shared" si="37"/>
        <v>37.166412581240472</v>
      </c>
      <c r="AB41" s="6">
        <f t="shared" si="38"/>
        <v>0.18181818181818182</v>
      </c>
      <c r="AC41" s="1">
        <f t="shared" si="39"/>
        <v>0.81818181818181812</v>
      </c>
      <c r="AD41" s="1">
        <f t="shared" si="40"/>
        <v>3.6106876354007862</v>
      </c>
      <c r="AE41" s="7">
        <f t="shared" si="41"/>
        <v>36.80534381770039</v>
      </c>
      <c r="AF41" s="6">
        <f t="shared" si="17"/>
        <v>0.21818181818181817</v>
      </c>
      <c r="AG41" s="1">
        <f t="shared" si="18"/>
        <v>0.78181818181818186</v>
      </c>
      <c r="AH41" s="1">
        <f t="shared" si="23"/>
        <v>4.1402551552595686</v>
      </c>
      <c r="AI41" s="7">
        <f t="shared" si="24"/>
        <v>37.070127577629783</v>
      </c>
      <c r="AJ41" s="6">
        <f t="shared" si="42"/>
        <v>0.23636363636363636</v>
      </c>
      <c r="AK41" s="1">
        <f t="shared" si="43"/>
        <v>0.76363636363636367</v>
      </c>
      <c r="AL41" s="1">
        <f t="shared" si="44"/>
        <v>4.3809676642862874</v>
      </c>
      <c r="AM41" s="7">
        <f t="shared" si="45"/>
        <v>37.190483832143144</v>
      </c>
    </row>
    <row r="42" spans="1:39">
      <c r="A42" s="183" t="s">
        <v>380</v>
      </c>
      <c r="B42" s="52">
        <f>MAX(B40,B41)</f>
        <v>21.18270079435128</v>
      </c>
      <c r="C42" s="33" t="s">
        <v>6</v>
      </c>
      <c r="N42">
        <v>3.5999999999999997E-2</v>
      </c>
      <c r="O42">
        <f t="shared" si="25"/>
        <v>36</v>
      </c>
      <c r="P42" s="6">
        <f t="shared" si="26"/>
        <v>0.24</v>
      </c>
      <c r="Q42" s="1">
        <f t="shared" si="27"/>
        <v>0.76</v>
      </c>
      <c r="R42" s="1">
        <f t="shared" si="28"/>
        <v>4.0247131509267424</v>
      </c>
      <c r="S42" s="7">
        <f t="shared" si="29"/>
        <v>38.012356575463372</v>
      </c>
      <c r="T42" s="6">
        <f t="shared" si="30"/>
        <v>0.21818181818181817</v>
      </c>
      <c r="U42" s="1">
        <f t="shared" si="31"/>
        <v>0.78181818181818186</v>
      </c>
      <c r="V42" s="1">
        <f t="shared" si="32"/>
        <v>4.1402551552595686</v>
      </c>
      <c r="W42" s="7">
        <f t="shared" si="33"/>
        <v>38.070127577629783</v>
      </c>
      <c r="X42" s="6">
        <f t="shared" si="34"/>
        <v>0.18181818181818182</v>
      </c>
      <c r="Y42" s="1">
        <f t="shared" si="35"/>
        <v>0.81818181818181812</v>
      </c>
      <c r="Z42" s="1">
        <f t="shared" si="36"/>
        <v>4.332825162480944</v>
      </c>
      <c r="AA42" s="7">
        <f t="shared" si="37"/>
        <v>38.166412581240472</v>
      </c>
      <c r="AB42" s="6">
        <f t="shared" si="38"/>
        <v>0.18181818181818182</v>
      </c>
      <c r="AC42" s="1">
        <f t="shared" si="39"/>
        <v>0.81818181818181812</v>
      </c>
      <c r="AD42" s="1">
        <f t="shared" si="40"/>
        <v>3.6106876354007862</v>
      </c>
      <c r="AE42" s="7">
        <f t="shared" si="41"/>
        <v>37.80534381770039</v>
      </c>
      <c r="AF42" s="6">
        <f t="shared" si="17"/>
        <v>0.21818181818181817</v>
      </c>
      <c r="AG42" s="1">
        <f t="shared" si="18"/>
        <v>0.78181818181818186</v>
      </c>
      <c r="AH42" s="1">
        <f t="shared" si="23"/>
        <v>4.1402551552595686</v>
      </c>
      <c r="AI42" s="7">
        <f t="shared" si="24"/>
        <v>38.070127577629783</v>
      </c>
      <c r="AJ42" s="6">
        <f t="shared" si="42"/>
        <v>0.23636363636363636</v>
      </c>
      <c r="AK42" s="1">
        <f t="shared" si="43"/>
        <v>0.76363636363636367</v>
      </c>
      <c r="AL42" s="1">
        <f t="shared" si="44"/>
        <v>4.3809676642862874</v>
      </c>
      <c r="AM42" s="7">
        <f t="shared" si="45"/>
        <v>38.190483832143144</v>
      </c>
    </row>
    <row r="43" spans="1:39">
      <c r="A43" s="33" t="s">
        <v>5</v>
      </c>
      <c r="B43" s="53">
        <f>Design_Converter!B38</f>
        <v>22</v>
      </c>
      <c r="C43" s="33" t="s">
        <v>6</v>
      </c>
      <c r="N43">
        <v>3.6999999999999998E-2</v>
      </c>
      <c r="O43">
        <f t="shared" si="25"/>
        <v>37</v>
      </c>
      <c r="P43" s="6">
        <f t="shared" si="26"/>
        <v>0.24</v>
      </c>
      <c r="Q43" s="1">
        <f t="shared" si="27"/>
        <v>0.76</v>
      </c>
      <c r="R43" s="1">
        <f t="shared" si="28"/>
        <v>4.0247131509267424</v>
      </c>
      <c r="S43" s="7">
        <f t="shared" si="29"/>
        <v>39.012356575463372</v>
      </c>
      <c r="T43" s="6">
        <f t="shared" si="30"/>
        <v>0.21818181818181817</v>
      </c>
      <c r="U43" s="1">
        <f t="shared" si="31"/>
        <v>0.78181818181818186</v>
      </c>
      <c r="V43" s="1">
        <f t="shared" si="32"/>
        <v>4.1402551552595686</v>
      </c>
      <c r="W43" s="7">
        <f t="shared" si="33"/>
        <v>39.070127577629783</v>
      </c>
      <c r="X43" s="6">
        <f t="shared" si="34"/>
        <v>0.18181818181818182</v>
      </c>
      <c r="Y43" s="1">
        <f t="shared" si="35"/>
        <v>0.81818181818181812</v>
      </c>
      <c r="Z43" s="1">
        <f t="shared" si="36"/>
        <v>4.332825162480944</v>
      </c>
      <c r="AA43" s="7">
        <f t="shared" si="37"/>
        <v>39.166412581240472</v>
      </c>
      <c r="AB43" s="6">
        <f t="shared" si="38"/>
        <v>0.18181818181818182</v>
      </c>
      <c r="AC43" s="1">
        <f t="shared" si="39"/>
        <v>0.81818181818181812</v>
      </c>
      <c r="AD43" s="1">
        <f t="shared" si="40"/>
        <v>3.6106876354007862</v>
      </c>
      <c r="AE43" s="7">
        <f t="shared" si="41"/>
        <v>38.80534381770039</v>
      </c>
      <c r="AF43" s="6">
        <f t="shared" si="17"/>
        <v>0.21818181818181817</v>
      </c>
      <c r="AG43" s="1">
        <f t="shared" si="18"/>
        <v>0.78181818181818186</v>
      </c>
      <c r="AH43" s="1">
        <f t="shared" si="23"/>
        <v>4.1402551552595686</v>
      </c>
      <c r="AI43" s="7">
        <f t="shared" si="24"/>
        <v>39.070127577629783</v>
      </c>
      <c r="AJ43" s="6">
        <f t="shared" si="42"/>
        <v>0.23636363636363636</v>
      </c>
      <c r="AK43" s="1">
        <f t="shared" si="43"/>
        <v>0.76363636363636367</v>
      </c>
      <c r="AL43" s="1">
        <f t="shared" si="44"/>
        <v>4.3809676642862874</v>
      </c>
      <c r="AM43" s="7">
        <f t="shared" si="45"/>
        <v>39.190483832143144</v>
      </c>
    </row>
    <row r="44" spans="1:39">
      <c r="A44" s="33" t="s">
        <v>29</v>
      </c>
      <c r="B44" s="47">
        <f>Lm_DCR</f>
        <v>1E-3</v>
      </c>
      <c r="C44" s="63" t="s">
        <v>76</v>
      </c>
      <c r="N44">
        <v>3.7999999999999999E-2</v>
      </c>
      <c r="O44">
        <f t="shared" si="25"/>
        <v>38</v>
      </c>
      <c r="P44" s="6">
        <f t="shared" si="26"/>
        <v>0.24</v>
      </c>
      <c r="Q44" s="1">
        <f t="shared" si="27"/>
        <v>0.76</v>
      </c>
      <c r="R44" s="1">
        <f t="shared" si="28"/>
        <v>4.0247131509267424</v>
      </c>
      <c r="S44" s="7">
        <f t="shared" si="29"/>
        <v>40.012356575463372</v>
      </c>
      <c r="T44" s="6">
        <f t="shared" si="30"/>
        <v>0.21818181818181817</v>
      </c>
      <c r="U44" s="1">
        <f t="shared" si="31"/>
        <v>0.78181818181818186</v>
      </c>
      <c r="V44" s="1">
        <f t="shared" si="32"/>
        <v>4.1402551552595686</v>
      </c>
      <c r="W44" s="7">
        <f t="shared" si="33"/>
        <v>40.070127577629783</v>
      </c>
      <c r="X44" s="6">
        <f t="shared" si="34"/>
        <v>0.18181818181818182</v>
      </c>
      <c r="Y44" s="1">
        <f t="shared" si="35"/>
        <v>0.81818181818181812</v>
      </c>
      <c r="Z44" s="1">
        <f t="shared" si="36"/>
        <v>4.332825162480944</v>
      </c>
      <c r="AA44" s="7">
        <f t="shared" si="37"/>
        <v>40.166412581240472</v>
      </c>
      <c r="AB44" s="6">
        <f t="shared" si="38"/>
        <v>0.18181818181818182</v>
      </c>
      <c r="AC44" s="1">
        <f t="shared" si="39"/>
        <v>0.81818181818181812</v>
      </c>
      <c r="AD44" s="1">
        <f t="shared" si="40"/>
        <v>3.6106876354007862</v>
      </c>
      <c r="AE44" s="7">
        <f t="shared" si="41"/>
        <v>39.80534381770039</v>
      </c>
      <c r="AF44" s="6">
        <f t="shared" si="17"/>
        <v>0.21818181818181817</v>
      </c>
      <c r="AG44" s="1">
        <f t="shared" si="18"/>
        <v>0.78181818181818186</v>
      </c>
      <c r="AH44" s="1">
        <f t="shared" si="23"/>
        <v>4.1402551552595686</v>
      </c>
      <c r="AI44" s="7">
        <f t="shared" si="24"/>
        <v>40.070127577629783</v>
      </c>
      <c r="AJ44" s="6">
        <f t="shared" si="42"/>
        <v>0.23636363636363636</v>
      </c>
      <c r="AK44" s="1">
        <f t="shared" si="43"/>
        <v>0.76363636363636367</v>
      </c>
      <c r="AL44" s="1">
        <f t="shared" si="44"/>
        <v>4.3809676642862874</v>
      </c>
      <c r="AM44" s="7">
        <f t="shared" si="45"/>
        <v>40.190483832143144</v>
      </c>
    </row>
    <row r="45" spans="1:39" ht="15.75" thickBot="1">
      <c r="A45" s="294" t="s">
        <v>10</v>
      </c>
      <c r="B45" s="295"/>
      <c r="C45" s="296"/>
      <c r="E45" s="36" t="s">
        <v>141</v>
      </c>
      <c r="N45">
        <v>3.9E-2</v>
      </c>
      <c r="O45">
        <f t="shared" si="25"/>
        <v>39</v>
      </c>
      <c r="P45" s="6">
        <f t="shared" si="26"/>
        <v>0.24</v>
      </c>
      <c r="Q45" s="1">
        <f t="shared" si="27"/>
        <v>0.76</v>
      </c>
      <c r="R45" s="1">
        <f t="shared" si="28"/>
        <v>4.0247131509267424</v>
      </c>
      <c r="S45" s="7">
        <f t="shared" si="29"/>
        <v>41.012356575463372</v>
      </c>
      <c r="T45" s="6">
        <f t="shared" si="30"/>
        <v>0.21818181818181817</v>
      </c>
      <c r="U45" s="1">
        <f t="shared" si="31"/>
        <v>0.78181818181818186</v>
      </c>
      <c r="V45" s="1">
        <f t="shared" si="32"/>
        <v>4.1402551552595686</v>
      </c>
      <c r="W45" s="7">
        <f t="shared" si="33"/>
        <v>41.070127577629783</v>
      </c>
      <c r="X45" s="6">
        <f t="shared" si="34"/>
        <v>0.18181818181818182</v>
      </c>
      <c r="Y45" s="1">
        <f t="shared" si="35"/>
        <v>0.81818181818181812</v>
      </c>
      <c r="Z45" s="1">
        <f t="shared" si="36"/>
        <v>4.332825162480944</v>
      </c>
      <c r="AA45" s="7">
        <f t="shared" si="37"/>
        <v>41.166412581240472</v>
      </c>
      <c r="AB45" s="6">
        <f t="shared" si="38"/>
        <v>0.18181818181818182</v>
      </c>
      <c r="AC45" s="1">
        <f t="shared" si="39"/>
        <v>0.81818181818181812</v>
      </c>
      <c r="AD45" s="1">
        <f t="shared" si="40"/>
        <v>3.6106876354007862</v>
      </c>
      <c r="AE45" s="7">
        <f t="shared" si="41"/>
        <v>40.80534381770039</v>
      </c>
      <c r="AF45" s="6">
        <f t="shared" si="17"/>
        <v>0.21818181818181817</v>
      </c>
      <c r="AG45" s="1">
        <f t="shared" si="18"/>
        <v>0.78181818181818186</v>
      </c>
      <c r="AH45" s="1">
        <f t="shared" si="23"/>
        <v>4.1402551552595686</v>
      </c>
      <c r="AI45" s="7">
        <f t="shared" si="24"/>
        <v>41.070127577629783</v>
      </c>
      <c r="AJ45" s="6">
        <f t="shared" si="42"/>
        <v>0.23636363636363636</v>
      </c>
      <c r="AK45" s="1">
        <f t="shared" si="43"/>
        <v>0.76363636363636367</v>
      </c>
      <c r="AL45" s="1">
        <f t="shared" si="44"/>
        <v>4.3809676642862874</v>
      </c>
      <c r="AM45" s="7">
        <f t="shared" si="45"/>
        <v>41.190483832143144</v>
      </c>
    </row>
    <row r="46" spans="1:39">
      <c r="A46" s="70" t="s">
        <v>78</v>
      </c>
      <c r="B46" s="71">
        <f>((V48_Min-V12_Nom)/(2*Lm*Fsw))*((V12_Nom*Rcs)/V48_Min)*1000</f>
        <v>2.0123565754633717</v>
      </c>
      <c r="C46" s="72" t="s">
        <v>68</v>
      </c>
      <c r="N46">
        <v>0.04</v>
      </c>
      <c r="O46">
        <f t="shared" si="25"/>
        <v>40</v>
      </c>
      <c r="P46" s="6">
        <f t="shared" si="26"/>
        <v>0.24</v>
      </c>
      <c r="Q46" s="1">
        <f t="shared" si="27"/>
        <v>0.76</v>
      </c>
      <c r="R46" s="1">
        <f t="shared" si="28"/>
        <v>4.0247131509267424</v>
      </c>
      <c r="S46" s="7">
        <f t="shared" si="29"/>
        <v>42.012356575463372</v>
      </c>
      <c r="T46" s="6">
        <f t="shared" si="30"/>
        <v>0.21818181818181817</v>
      </c>
      <c r="U46" s="1">
        <f t="shared" si="31"/>
        <v>0.78181818181818186</v>
      </c>
      <c r="V46" s="1">
        <f t="shared" si="32"/>
        <v>4.1402551552595686</v>
      </c>
      <c r="W46" s="7">
        <f t="shared" si="33"/>
        <v>42.070127577629783</v>
      </c>
      <c r="X46" s="6">
        <f t="shared" si="34"/>
        <v>0.18181818181818182</v>
      </c>
      <c r="Y46" s="1">
        <f t="shared" si="35"/>
        <v>0.81818181818181812</v>
      </c>
      <c r="Z46" s="1">
        <f t="shared" si="36"/>
        <v>4.332825162480944</v>
      </c>
      <c r="AA46" s="7">
        <f t="shared" si="37"/>
        <v>42.166412581240472</v>
      </c>
      <c r="AB46" s="6">
        <f t="shared" si="38"/>
        <v>0.18181818181818182</v>
      </c>
      <c r="AC46" s="1">
        <f t="shared" si="39"/>
        <v>0.81818181818181812</v>
      </c>
      <c r="AD46" s="1">
        <f t="shared" si="40"/>
        <v>3.6106876354007862</v>
      </c>
      <c r="AE46" s="7">
        <f t="shared" si="41"/>
        <v>41.80534381770039</v>
      </c>
      <c r="AF46" s="6">
        <f t="shared" si="17"/>
        <v>0.21818181818181817</v>
      </c>
      <c r="AG46" s="1">
        <f t="shared" si="18"/>
        <v>0.78181818181818186</v>
      </c>
      <c r="AH46" s="1">
        <f t="shared" si="23"/>
        <v>4.1402551552595686</v>
      </c>
      <c r="AI46" s="7">
        <f t="shared" si="24"/>
        <v>42.070127577629783</v>
      </c>
      <c r="AJ46" s="6">
        <f t="shared" si="42"/>
        <v>0.23636363636363636</v>
      </c>
      <c r="AK46" s="1">
        <f t="shared" si="43"/>
        <v>0.76363636363636367</v>
      </c>
      <c r="AL46" s="1">
        <f t="shared" si="44"/>
        <v>4.3809676642862874</v>
      </c>
      <c r="AM46" s="7">
        <f t="shared" si="45"/>
        <v>42.190483832143144</v>
      </c>
    </row>
    <row r="47" spans="1:39">
      <c r="A47" s="73" t="s">
        <v>79</v>
      </c>
      <c r="B47" s="55">
        <f>(B46/1000)/Rcs</f>
        <v>2.0123565754633717</v>
      </c>
      <c r="C47" s="42" t="s">
        <v>4</v>
      </c>
      <c r="N47">
        <v>4.1000000000000002E-2</v>
      </c>
      <c r="O47">
        <f t="shared" si="25"/>
        <v>41</v>
      </c>
      <c r="P47" s="6">
        <f t="shared" si="26"/>
        <v>0.24</v>
      </c>
      <c r="Q47" s="1">
        <f t="shared" si="27"/>
        <v>0.76</v>
      </c>
      <c r="R47" s="1">
        <f t="shared" si="28"/>
        <v>4.0247131509267424</v>
      </c>
      <c r="S47" s="7">
        <f t="shared" si="29"/>
        <v>43.012356575463372</v>
      </c>
      <c r="T47" s="6">
        <f t="shared" si="30"/>
        <v>0.21818181818181817</v>
      </c>
      <c r="U47" s="1">
        <f t="shared" si="31"/>
        <v>0.78181818181818186</v>
      </c>
      <c r="V47" s="1">
        <f t="shared" si="32"/>
        <v>4.1402551552595686</v>
      </c>
      <c r="W47" s="7">
        <f t="shared" si="33"/>
        <v>43.070127577629783</v>
      </c>
      <c r="X47" s="6">
        <f t="shared" si="34"/>
        <v>0.18181818181818182</v>
      </c>
      <c r="Y47" s="1">
        <f t="shared" si="35"/>
        <v>0.81818181818181812</v>
      </c>
      <c r="Z47" s="1">
        <f t="shared" si="36"/>
        <v>4.332825162480944</v>
      </c>
      <c r="AA47" s="7">
        <f t="shared" si="37"/>
        <v>43.166412581240472</v>
      </c>
      <c r="AB47" s="6">
        <f t="shared" si="38"/>
        <v>0.18181818181818182</v>
      </c>
      <c r="AC47" s="1">
        <f t="shared" si="39"/>
        <v>0.81818181818181812</v>
      </c>
      <c r="AD47" s="1">
        <f t="shared" si="40"/>
        <v>3.6106876354007862</v>
      </c>
      <c r="AE47" s="7">
        <f t="shared" si="41"/>
        <v>42.80534381770039</v>
      </c>
      <c r="AF47" s="6">
        <f t="shared" si="17"/>
        <v>0.21818181818181817</v>
      </c>
      <c r="AG47" s="1">
        <f t="shared" si="18"/>
        <v>0.78181818181818186</v>
      </c>
      <c r="AH47" s="1">
        <f t="shared" si="23"/>
        <v>4.1402551552595686</v>
      </c>
      <c r="AI47" s="7">
        <f t="shared" si="24"/>
        <v>43.070127577629783</v>
      </c>
      <c r="AJ47" s="6">
        <f t="shared" si="42"/>
        <v>0.23636363636363636</v>
      </c>
      <c r="AK47" s="1">
        <f t="shared" si="43"/>
        <v>0.76363636363636367</v>
      </c>
      <c r="AL47" s="1">
        <f t="shared" si="44"/>
        <v>4.3809676642862874</v>
      </c>
      <c r="AM47" s="7">
        <f t="shared" si="45"/>
        <v>43.190483832143144</v>
      </c>
    </row>
    <row r="48" spans="1:39">
      <c r="A48" s="73" t="s">
        <v>288</v>
      </c>
      <c r="B48" s="48">
        <f>(V12_Nom/V48_Min)</f>
        <v>0.24</v>
      </c>
      <c r="C48" s="42"/>
      <c r="N48">
        <v>4.2000000000000003E-2</v>
      </c>
      <c r="O48">
        <f t="shared" si="25"/>
        <v>42</v>
      </c>
      <c r="P48" s="6">
        <f t="shared" si="26"/>
        <v>0.24</v>
      </c>
      <c r="Q48" s="1">
        <f t="shared" si="27"/>
        <v>0.76</v>
      </c>
      <c r="R48" s="1">
        <f t="shared" si="28"/>
        <v>4.0247131509267424</v>
      </c>
      <c r="S48" s="7">
        <f t="shared" si="29"/>
        <v>44.012356575463372</v>
      </c>
      <c r="T48" s="6">
        <f t="shared" si="30"/>
        <v>0.21818181818181817</v>
      </c>
      <c r="U48" s="1">
        <f t="shared" si="31"/>
        <v>0.78181818181818186</v>
      </c>
      <c r="V48" s="1">
        <f t="shared" si="32"/>
        <v>4.1402551552595686</v>
      </c>
      <c r="W48" s="7">
        <f t="shared" si="33"/>
        <v>44.070127577629783</v>
      </c>
      <c r="X48" s="6">
        <f t="shared" si="34"/>
        <v>0.18181818181818182</v>
      </c>
      <c r="Y48" s="1">
        <f t="shared" si="35"/>
        <v>0.81818181818181812</v>
      </c>
      <c r="Z48" s="1">
        <f t="shared" si="36"/>
        <v>4.332825162480944</v>
      </c>
      <c r="AA48" s="7">
        <f t="shared" si="37"/>
        <v>44.166412581240472</v>
      </c>
      <c r="AB48" s="6">
        <f t="shared" si="38"/>
        <v>0.18181818181818182</v>
      </c>
      <c r="AC48" s="1">
        <f t="shared" si="39"/>
        <v>0.81818181818181812</v>
      </c>
      <c r="AD48" s="1">
        <f t="shared" si="40"/>
        <v>3.6106876354007862</v>
      </c>
      <c r="AE48" s="7">
        <f t="shared" si="41"/>
        <v>43.80534381770039</v>
      </c>
      <c r="AF48" s="6">
        <f t="shared" si="17"/>
        <v>0.21818181818181817</v>
      </c>
      <c r="AG48" s="1">
        <f t="shared" si="18"/>
        <v>0.78181818181818186</v>
      </c>
      <c r="AH48" s="1">
        <f t="shared" si="23"/>
        <v>4.1402551552595686</v>
      </c>
      <c r="AI48" s="7">
        <f t="shared" si="24"/>
        <v>44.070127577629783</v>
      </c>
      <c r="AJ48" s="6">
        <f t="shared" si="42"/>
        <v>0.23636363636363636</v>
      </c>
      <c r="AK48" s="1">
        <f t="shared" si="43"/>
        <v>0.76363636363636367</v>
      </c>
      <c r="AL48" s="1">
        <f t="shared" si="44"/>
        <v>4.3809676642862874</v>
      </c>
      <c r="AM48" s="7">
        <f t="shared" si="45"/>
        <v>44.190483832143144</v>
      </c>
    </row>
    <row r="49" spans="1:42">
      <c r="A49" s="73" t="s">
        <v>70</v>
      </c>
      <c r="B49" s="54">
        <f>((V48_Nom-V12_Nom)/(2*Lm*Fsw))*((V12_Nom*Rcs)/V48_Nom)*1000</f>
        <v>2.0701275776297838</v>
      </c>
      <c r="C49" s="42" t="s">
        <v>68</v>
      </c>
      <c r="N49">
        <v>4.2999999999999997E-2</v>
      </c>
      <c r="O49">
        <f t="shared" si="25"/>
        <v>42.999999999999993</v>
      </c>
      <c r="P49" s="6">
        <f t="shared" si="26"/>
        <v>0.24</v>
      </c>
      <c r="Q49" s="1">
        <f t="shared" si="27"/>
        <v>0.76</v>
      </c>
      <c r="R49" s="1">
        <f t="shared" si="28"/>
        <v>4.0247131509267424</v>
      </c>
      <c r="S49" s="7">
        <f t="shared" si="29"/>
        <v>45.012356575463365</v>
      </c>
      <c r="T49" s="6">
        <f t="shared" si="30"/>
        <v>0.21818181818181817</v>
      </c>
      <c r="U49" s="1">
        <f t="shared" si="31"/>
        <v>0.78181818181818186</v>
      </c>
      <c r="V49" s="1">
        <f t="shared" si="32"/>
        <v>4.1402551552595686</v>
      </c>
      <c r="W49" s="7">
        <f t="shared" si="33"/>
        <v>45.070127577629776</v>
      </c>
      <c r="X49" s="6">
        <f t="shared" si="34"/>
        <v>0.18181818181818182</v>
      </c>
      <c r="Y49" s="1">
        <f t="shared" si="35"/>
        <v>0.81818181818181812</v>
      </c>
      <c r="Z49" s="1">
        <f t="shared" si="36"/>
        <v>4.332825162480944</v>
      </c>
      <c r="AA49" s="7">
        <f t="shared" si="37"/>
        <v>45.166412581240465</v>
      </c>
      <c r="AB49" s="6">
        <f t="shared" si="38"/>
        <v>0.18181818181818182</v>
      </c>
      <c r="AC49" s="1">
        <f t="shared" si="39"/>
        <v>0.81818181818181812</v>
      </c>
      <c r="AD49" s="1">
        <f t="shared" si="40"/>
        <v>3.6106876354007862</v>
      </c>
      <c r="AE49" s="7">
        <f t="shared" si="41"/>
        <v>44.805343817700383</v>
      </c>
      <c r="AF49" s="6">
        <f t="shared" si="17"/>
        <v>0.21818181818181817</v>
      </c>
      <c r="AG49" s="1">
        <f t="shared" si="18"/>
        <v>0.78181818181818186</v>
      </c>
      <c r="AH49" s="1">
        <f t="shared" si="23"/>
        <v>4.1402551552595686</v>
      </c>
      <c r="AI49" s="7">
        <f t="shared" si="24"/>
        <v>45.070127577629776</v>
      </c>
      <c r="AJ49" s="6">
        <f t="shared" si="42"/>
        <v>0.23636363636363636</v>
      </c>
      <c r="AK49" s="1">
        <f t="shared" si="43"/>
        <v>0.76363636363636367</v>
      </c>
      <c r="AL49" s="1">
        <f t="shared" si="44"/>
        <v>4.3809676642862874</v>
      </c>
      <c r="AM49" s="7">
        <f t="shared" si="45"/>
        <v>45.190483832143137</v>
      </c>
    </row>
    <row r="50" spans="1:42">
      <c r="A50" s="73" t="s">
        <v>77</v>
      </c>
      <c r="B50" s="55">
        <f>(B49/1000)/Rcs</f>
        <v>2.0701275776297838</v>
      </c>
      <c r="C50" s="42" t="s">
        <v>4</v>
      </c>
      <c r="N50">
        <v>4.3999999999999997E-2</v>
      </c>
      <c r="O50">
        <f t="shared" si="25"/>
        <v>44</v>
      </c>
      <c r="P50" s="6">
        <f t="shared" si="26"/>
        <v>0.24</v>
      </c>
      <c r="Q50" s="1">
        <f t="shared" si="27"/>
        <v>0.76</v>
      </c>
      <c r="R50" s="1">
        <f t="shared" si="28"/>
        <v>4.0247131509267424</v>
      </c>
      <c r="S50" s="7">
        <f t="shared" si="29"/>
        <v>46.012356575463372</v>
      </c>
      <c r="T50" s="6">
        <f t="shared" si="30"/>
        <v>0.21818181818181817</v>
      </c>
      <c r="U50" s="1">
        <f t="shared" si="31"/>
        <v>0.78181818181818186</v>
      </c>
      <c r="V50" s="1">
        <f t="shared" si="32"/>
        <v>4.1402551552595686</v>
      </c>
      <c r="W50" s="7">
        <f t="shared" si="33"/>
        <v>46.070127577629783</v>
      </c>
      <c r="X50" s="6">
        <f t="shared" si="34"/>
        <v>0.18181818181818182</v>
      </c>
      <c r="Y50" s="1">
        <f t="shared" si="35"/>
        <v>0.81818181818181812</v>
      </c>
      <c r="Z50" s="1">
        <f t="shared" si="36"/>
        <v>4.332825162480944</v>
      </c>
      <c r="AA50" s="7">
        <f t="shared" si="37"/>
        <v>46.166412581240472</v>
      </c>
      <c r="AB50" s="6">
        <f t="shared" si="38"/>
        <v>0.18181818181818182</v>
      </c>
      <c r="AC50" s="1">
        <f t="shared" si="39"/>
        <v>0.81818181818181812</v>
      </c>
      <c r="AD50" s="1">
        <f t="shared" si="40"/>
        <v>3.6106876354007862</v>
      </c>
      <c r="AE50" s="7">
        <f t="shared" si="41"/>
        <v>45.80534381770039</v>
      </c>
      <c r="AF50" s="6">
        <f t="shared" si="17"/>
        <v>0.21818181818181817</v>
      </c>
      <c r="AG50" s="1">
        <f t="shared" si="18"/>
        <v>0.78181818181818186</v>
      </c>
      <c r="AH50" s="1">
        <f t="shared" si="23"/>
        <v>4.1402551552595686</v>
      </c>
      <c r="AI50" s="7">
        <f t="shared" si="24"/>
        <v>46.070127577629783</v>
      </c>
      <c r="AJ50" s="6">
        <f t="shared" si="42"/>
        <v>0.23636363636363636</v>
      </c>
      <c r="AK50" s="1">
        <f t="shared" si="43"/>
        <v>0.76363636363636367</v>
      </c>
      <c r="AL50" s="1">
        <f t="shared" si="44"/>
        <v>4.3809676642862874</v>
      </c>
      <c r="AM50" s="7">
        <f t="shared" si="45"/>
        <v>46.190483832143144</v>
      </c>
    </row>
    <row r="51" spans="1:42">
      <c r="A51" s="73" t="s">
        <v>288</v>
      </c>
      <c r="B51" s="59">
        <f>(V12_Nom/V48_Nom)</f>
        <v>0.21818181818181817</v>
      </c>
      <c r="C51" s="42"/>
      <c r="N51">
        <v>4.4999999999999998E-2</v>
      </c>
      <c r="O51">
        <f t="shared" si="25"/>
        <v>45</v>
      </c>
      <c r="P51" s="6">
        <f t="shared" si="26"/>
        <v>0.24</v>
      </c>
      <c r="Q51" s="1">
        <f t="shared" si="27"/>
        <v>0.76</v>
      </c>
      <c r="R51" s="1">
        <f t="shared" si="28"/>
        <v>4.0247131509267424</v>
      </c>
      <c r="S51" s="7">
        <f t="shared" si="29"/>
        <v>47.012356575463372</v>
      </c>
      <c r="T51" s="6">
        <f t="shared" si="30"/>
        <v>0.21818181818181817</v>
      </c>
      <c r="U51" s="1">
        <f t="shared" si="31"/>
        <v>0.78181818181818186</v>
      </c>
      <c r="V51" s="1">
        <f t="shared" si="32"/>
        <v>4.1402551552595686</v>
      </c>
      <c r="W51" s="7">
        <f t="shared" si="33"/>
        <v>47.070127577629783</v>
      </c>
      <c r="X51" s="6">
        <f t="shared" si="34"/>
        <v>0.18181818181818182</v>
      </c>
      <c r="Y51" s="1">
        <f t="shared" si="35"/>
        <v>0.81818181818181812</v>
      </c>
      <c r="Z51" s="1">
        <f t="shared" si="36"/>
        <v>4.332825162480944</v>
      </c>
      <c r="AA51" s="7">
        <f t="shared" si="37"/>
        <v>47.166412581240472</v>
      </c>
      <c r="AB51" s="6">
        <f t="shared" si="38"/>
        <v>0.18181818181818182</v>
      </c>
      <c r="AC51" s="1">
        <f t="shared" si="39"/>
        <v>0.81818181818181812</v>
      </c>
      <c r="AD51" s="1">
        <f t="shared" si="40"/>
        <v>3.6106876354007862</v>
      </c>
      <c r="AE51" s="7">
        <f t="shared" si="41"/>
        <v>46.80534381770039</v>
      </c>
      <c r="AF51" s="6">
        <f t="shared" si="17"/>
        <v>0.21818181818181817</v>
      </c>
      <c r="AG51" s="1">
        <f t="shared" si="18"/>
        <v>0.78181818181818186</v>
      </c>
      <c r="AH51" s="1">
        <f t="shared" si="23"/>
        <v>4.1402551552595686</v>
      </c>
      <c r="AI51" s="7">
        <f t="shared" si="24"/>
        <v>47.070127577629783</v>
      </c>
      <c r="AJ51" s="6">
        <f t="shared" si="42"/>
        <v>0.23636363636363636</v>
      </c>
      <c r="AK51" s="1">
        <f t="shared" si="43"/>
        <v>0.76363636363636367</v>
      </c>
      <c r="AL51" s="1">
        <f t="shared" si="44"/>
        <v>4.3809676642862874</v>
      </c>
      <c r="AM51" s="7">
        <f t="shared" si="45"/>
        <v>47.190483832143144</v>
      </c>
    </row>
    <row r="52" spans="1:42">
      <c r="A52" s="73" t="s">
        <v>80</v>
      </c>
      <c r="B52" s="54">
        <f>((V48_Max-V12_Nom)/(2*Lm*Fsw))*((V12_Nom*Rcs)/V48_Max)*1000</f>
        <v>2.166412581240472</v>
      </c>
      <c r="C52" s="42" t="s">
        <v>68</v>
      </c>
      <c r="N52">
        <v>4.5999999999999999E-2</v>
      </c>
      <c r="O52">
        <f t="shared" si="25"/>
        <v>46</v>
      </c>
      <c r="P52" s="6">
        <f t="shared" si="26"/>
        <v>0.24</v>
      </c>
      <c r="Q52" s="1">
        <f t="shared" si="27"/>
        <v>0.76</v>
      </c>
      <c r="R52" s="1">
        <f t="shared" si="28"/>
        <v>4.0247131509267424</v>
      </c>
      <c r="S52" s="7">
        <f t="shared" si="29"/>
        <v>48.012356575463372</v>
      </c>
      <c r="T52" s="6">
        <f t="shared" si="30"/>
        <v>0.21818181818181817</v>
      </c>
      <c r="U52" s="1">
        <f t="shared" si="31"/>
        <v>0.78181818181818186</v>
      </c>
      <c r="V52" s="1">
        <f t="shared" si="32"/>
        <v>4.1402551552595686</v>
      </c>
      <c r="W52" s="7">
        <f t="shared" si="33"/>
        <v>48.070127577629783</v>
      </c>
      <c r="X52" s="6">
        <f t="shared" si="34"/>
        <v>0.18181818181818182</v>
      </c>
      <c r="Y52" s="1">
        <f t="shared" si="35"/>
        <v>0.81818181818181812</v>
      </c>
      <c r="Z52" s="1">
        <f t="shared" si="36"/>
        <v>4.332825162480944</v>
      </c>
      <c r="AA52" s="7">
        <f t="shared" si="37"/>
        <v>48.166412581240472</v>
      </c>
      <c r="AB52" s="6">
        <f t="shared" si="38"/>
        <v>0.18181818181818182</v>
      </c>
      <c r="AC52" s="1">
        <f t="shared" si="39"/>
        <v>0.81818181818181812</v>
      </c>
      <c r="AD52" s="1">
        <f t="shared" si="40"/>
        <v>3.6106876354007862</v>
      </c>
      <c r="AE52" s="7">
        <f t="shared" si="41"/>
        <v>47.80534381770039</v>
      </c>
      <c r="AF52" s="6">
        <f t="shared" si="17"/>
        <v>0.21818181818181817</v>
      </c>
      <c r="AG52" s="1">
        <f t="shared" si="18"/>
        <v>0.78181818181818186</v>
      </c>
      <c r="AH52" s="1">
        <f t="shared" si="23"/>
        <v>4.1402551552595686</v>
      </c>
      <c r="AI52" s="7">
        <f t="shared" si="24"/>
        <v>48.070127577629783</v>
      </c>
      <c r="AJ52" s="6">
        <f t="shared" si="42"/>
        <v>0.23636363636363636</v>
      </c>
      <c r="AK52" s="1">
        <f t="shared" si="43"/>
        <v>0.76363636363636367</v>
      </c>
      <c r="AL52" s="1">
        <f t="shared" si="44"/>
        <v>4.3809676642862874</v>
      </c>
      <c r="AM52" s="7">
        <f t="shared" si="45"/>
        <v>48.190483832143144</v>
      </c>
    </row>
    <row r="53" spans="1:42">
      <c r="A53" s="73" t="s">
        <v>81</v>
      </c>
      <c r="B53" s="55">
        <f>(B52/1000)/Rcs</f>
        <v>2.166412581240472</v>
      </c>
      <c r="C53" s="42" t="s">
        <v>4</v>
      </c>
      <c r="N53">
        <v>4.7E-2</v>
      </c>
      <c r="O53">
        <f t="shared" si="25"/>
        <v>47</v>
      </c>
      <c r="P53" s="6">
        <f t="shared" si="26"/>
        <v>0.24</v>
      </c>
      <c r="Q53" s="1">
        <f t="shared" si="27"/>
        <v>0.76</v>
      </c>
      <c r="R53" s="1">
        <f t="shared" si="28"/>
        <v>4.0247131509267424</v>
      </c>
      <c r="S53" s="7">
        <f t="shared" si="29"/>
        <v>49.012356575463372</v>
      </c>
      <c r="T53" s="6">
        <f t="shared" si="30"/>
        <v>0.21818181818181817</v>
      </c>
      <c r="U53" s="1">
        <f t="shared" si="31"/>
        <v>0.78181818181818186</v>
      </c>
      <c r="V53" s="1">
        <f t="shared" si="32"/>
        <v>4.1402551552595686</v>
      </c>
      <c r="W53" s="7">
        <f t="shared" si="33"/>
        <v>49.070127577629783</v>
      </c>
      <c r="X53" s="6">
        <f t="shared" si="34"/>
        <v>0.18181818181818182</v>
      </c>
      <c r="Y53" s="1">
        <f t="shared" si="35"/>
        <v>0.81818181818181812</v>
      </c>
      <c r="Z53" s="1">
        <f t="shared" si="36"/>
        <v>4.332825162480944</v>
      </c>
      <c r="AA53" s="7">
        <f t="shared" si="37"/>
        <v>49.166412581240472</v>
      </c>
      <c r="AB53" s="6">
        <f t="shared" si="38"/>
        <v>0.18181818181818182</v>
      </c>
      <c r="AC53" s="1">
        <f t="shared" si="39"/>
        <v>0.81818181818181812</v>
      </c>
      <c r="AD53" s="1">
        <f t="shared" si="40"/>
        <v>3.6106876354007862</v>
      </c>
      <c r="AE53" s="7">
        <f t="shared" si="41"/>
        <v>48.80534381770039</v>
      </c>
      <c r="AF53" s="6">
        <f t="shared" si="17"/>
        <v>0.21818181818181817</v>
      </c>
      <c r="AG53" s="1">
        <f t="shared" si="18"/>
        <v>0.78181818181818186</v>
      </c>
      <c r="AH53" s="1">
        <f t="shared" si="23"/>
        <v>4.1402551552595686</v>
      </c>
      <c r="AI53" s="7">
        <f t="shared" si="24"/>
        <v>49.070127577629783</v>
      </c>
      <c r="AJ53" s="6">
        <f t="shared" si="42"/>
        <v>0.23636363636363636</v>
      </c>
      <c r="AK53" s="1">
        <f t="shared" si="43"/>
        <v>0.76363636363636367</v>
      </c>
      <c r="AL53" s="1">
        <f t="shared" si="44"/>
        <v>4.3809676642862874</v>
      </c>
      <c r="AM53" s="7">
        <f t="shared" si="45"/>
        <v>49.190483832143144</v>
      </c>
    </row>
    <row r="54" spans="1:42" ht="15.75" thickBot="1">
      <c r="A54" s="74" t="s">
        <v>288</v>
      </c>
      <c r="B54" s="55">
        <f>(V12_Nom/V48_Max)</f>
        <v>0.18181818181818182</v>
      </c>
      <c r="C54" s="75"/>
      <c r="N54">
        <v>4.8000000000000001E-2</v>
      </c>
      <c r="O54">
        <f t="shared" si="25"/>
        <v>48</v>
      </c>
      <c r="P54" s="6">
        <f t="shared" si="26"/>
        <v>0.24</v>
      </c>
      <c r="Q54" s="1">
        <f t="shared" si="27"/>
        <v>0.76</v>
      </c>
      <c r="R54" s="1">
        <f t="shared" si="28"/>
        <v>4.0247131509267424</v>
      </c>
      <c r="S54" s="7">
        <f t="shared" si="29"/>
        <v>50.012356575463372</v>
      </c>
      <c r="T54" s="6">
        <f t="shared" si="30"/>
        <v>0.21818181818181817</v>
      </c>
      <c r="U54" s="1">
        <f t="shared" si="31"/>
        <v>0.78181818181818186</v>
      </c>
      <c r="V54" s="1">
        <f t="shared" si="32"/>
        <v>4.1402551552595686</v>
      </c>
      <c r="W54" s="7">
        <f t="shared" si="33"/>
        <v>50.070127577629783</v>
      </c>
      <c r="X54" s="6">
        <f t="shared" si="34"/>
        <v>0.18181818181818182</v>
      </c>
      <c r="Y54" s="1">
        <f t="shared" si="35"/>
        <v>0.81818181818181812</v>
      </c>
      <c r="Z54" s="1">
        <f t="shared" si="36"/>
        <v>4.332825162480944</v>
      </c>
      <c r="AA54" s="7">
        <f t="shared" si="37"/>
        <v>50.166412581240472</v>
      </c>
      <c r="AB54" s="6">
        <f t="shared" si="38"/>
        <v>0.18181818181818182</v>
      </c>
      <c r="AC54" s="1">
        <f t="shared" si="39"/>
        <v>0.81818181818181812</v>
      </c>
      <c r="AD54" s="1">
        <f t="shared" si="40"/>
        <v>3.6106876354007862</v>
      </c>
      <c r="AE54" s="7">
        <f t="shared" si="41"/>
        <v>49.80534381770039</v>
      </c>
      <c r="AF54" s="6">
        <f t="shared" si="17"/>
        <v>0.21818181818181817</v>
      </c>
      <c r="AG54" s="1">
        <f t="shared" si="18"/>
        <v>0.78181818181818186</v>
      </c>
      <c r="AH54" s="1">
        <f t="shared" si="23"/>
        <v>4.1402551552595686</v>
      </c>
      <c r="AI54" s="7">
        <f t="shared" si="24"/>
        <v>50.070127577629783</v>
      </c>
      <c r="AJ54" s="6">
        <f t="shared" si="42"/>
        <v>0.23636363636363636</v>
      </c>
      <c r="AK54" s="1">
        <f t="shared" si="43"/>
        <v>0.76363636363636367</v>
      </c>
      <c r="AL54" s="1">
        <f t="shared" si="44"/>
        <v>4.3809676642862874</v>
      </c>
      <c r="AM54" s="7">
        <f t="shared" si="45"/>
        <v>50.190483832143144</v>
      </c>
    </row>
    <row r="55" spans="1:42">
      <c r="A55" s="70" t="s">
        <v>287</v>
      </c>
      <c r="B55" s="71">
        <f>((V48_Nom-V12_Min)/(2*Lm*Fsw))*((V12_Min*Rcs)/V48_Nom)*1000</f>
        <v>1.8053438177003931</v>
      </c>
      <c r="C55" s="72" t="s">
        <v>68</v>
      </c>
      <c r="N55">
        <v>4.9000000000000002E-2</v>
      </c>
      <c r="O55">
        <f t="shared" si="25"/>
        <v>49</v>
      </c>
      <c r="P55" s="6">
        <f t="shared" si="26"/>
        <v>0.24</v>
      </c>
      <c r="Q55" s="1">
        <f t="shared" si="27"/>
        <v>0.76</v>
      </c>
      <c r="R55" s="1">
        <f t="shared" si="28"/>
        <v>4.0247131509267424</v>
      </c>
      <c r="S55" s="7">
        <f t="shared" si="29"/>
        <v>51.012356575463372</v>
      </c>
      <c r="T55" s="6">
        <f t="shared" si="30"/>
        <v>0.21818181818181817</v>
      </c>
      <c r="U55" s="1">
        <f t="shared" si="31"/>
        <v>0.78181818181818186</v>
      </c>
      <c r="V55" s="1">
        <f t="shared" si="32"/>
        <v>4.1402551552595686</v>
      </c>
      <c r="W55" s="7">
        <f t="shared" si="33"/>
        <v>51.070127577629783</v>
      </c>
      <c r="X55" s="6">
        <f t="shared" si="34"/>
        <v>0.18181818181818182</v>
      </c>
      <c r="Y55" s="1">
        <f t="shared" si="35"/>
        <v>0.81818181818181812</v>
      </c>
      <c r="Z55" s="1">
        <f t="shared" si="36"/>
        <v>4.332825162480944</v>
      </c>
      <c r="AA55" s="7">
        <f t="shared" si="37"/>
        <v>51.166412581240472</v>
      </c>
      <c r="AB55" s="6">
        <f t="shared" si="38"/>
        <v>0.18181818181818182</v>
      </c>
      <c r="AC55" s="1">
        <f t="shared" si="39"/>
        <v>0.81818181818181812</v>
      </c>
      <c r="AD55" s="1">
        <f t="shared" si="40"/>
        <v>3.6106876354007862</v>
      </c>
      <c r="AE55" s="7">
        <f t="shared" si="41"/>
        <v>50.80534381770039</v>
      </c>
      <c r="AF55" s="6">
        <f t="shared" si="17"/>
        <v>0.21818181818181817</v>
      </c>
      <c r="AG55" s="1">
        <f t="shared" si="18"/>
        <v>0.78181818181818186</v>
      </c>
      <c r="AH55" s="1">
        <f t="shared" si="23"/>
        <v>4.1402551552595686</v>
      </c>
      <c r="AI55" s="7">
        <f t="shared" si="24"/>
        <v>51.070127577629783</v>
      </c>
      <c r="AJ55" s="6">
        <f t="shared" si="42"/>
        <v>0.23636363636363636</v>
      </c>
      <c r="AK55" s="1">
        <f t="shared" si="43"/>
        <v>0.76363636363636367</v>
      </c>
      <c r="AL55" s="1">
        <f t="shared" si="44"/>
        <v>4.3809676642862874</v>
      </c>
      <c r="AM55" s="7">
        <f t="shared" si="45"/>
        <v>51.190483832143144</v>
      </c>
    </row>
    <row r="56" spans="1:42">
      <c r="A56" s="73" t="s">
        <v>286</v>
      </c>
      <c r="B56" s="55">
        <f>(B55/1000)/Rcs</f>
        <v>1.8053438177003931</v>
      </c>
      <c r="C56" s="42" t="s">
        <v>4</v>
      </c>
      <c r="N56">
        <v>0.05</v>
      </c>
      <c r="O56">
        <f t="shared" si="25"/>
        <v>50</v>
      </c>
      <c r="P56" s="6">
        <f t="shared" si="26"/>
        <v>0.24</v>
      </c>
      <c r="Q56" s="1">
        <f t="shared" si="27"/>
        <v>0.76</v>
      </c>
      <c r="R56" s="1">
        <f t="shared" si="28"/>
        <v>4.0247131509267424</v>
      </c>
      <c r="S56" s="7">
        <f t="shared" si="29"/>
        <v>52.012356575463372</v>
      </c>
      <c r="T56" s="6">
        <f t="shared" si="30"/>
        <v>0.21818181818181817</v>
      </c>
      <c r="U56" s="1">
        <f t="shared" si="31"/>
        <v>0.78181818181818186</v>
      </c>
      <c r="V56" s="1">
        <f t="shared" si="32"/>
        <v>4.1402551552595686</v>
      </c>
      <c r="W56" s="7">
        <f t="shared" si="33"/>
        <v>52.070127577629783</v>
      </c>
      <c r="X56" s="6">
        <f t="shared" si="34"/>
        <v>0.18181818181818182</v>
      </c>
      <c r="Y56" s="1">
        <f t="shared" si="35"/>
        <v>0.81818181818181812</v>
      </c>
      <c r="Z56" s="1">
        <f t="shared" si="36"/>
        <v>4.332825162480944</v>
      </c>
      <c r="AA56" s="7">
        <f t="shared" si="37"/>
        <v>52.166412581240472</v>
      </c>
      <c r="AB56" s="6">
        <f t="shared" si="38"/>
        <v>0.18181818181818182</v>
      </c>
      <c r="AC56" s="1">
        <f t="shared" si="39"/>
        <v>0.81818181818181812</v>
      </c>
      <c r="AD56" s="1">
        <f t="shared" si="40"/>
        <v>3.6106876354007862</v>
      </c>
      <c r="AE56" s="7">
        <f t="shared" si="41"/>
        <v>51.80534381770039</v>
      </c>
      <c r="AF56" s="6">
        <f t="shared" si="17"/>
        <v>0.21818181818181817</v>
      </c>
      <c r="AG56" s="1">
        <f t="shared" si="18"/>
        <v>0.78181818181818186</v>
      </c>
      <c r="AH56" s="1">
        <f t="shared" si="23"/>
        <v>4.1402551552595686</v>
      </c>
      <c r="AI56" s="7">
        <f t="shared" si="24"/>
        <v>52.070127577629783</v>
      </c>
      <c r="AJ56" s="6">
        <f t="shared" si="42"/>
        <v>0.23636363636363636</v>
      </c>
      <c r="AK56" s="1">
        <f t="shared" si="43"/>
        <v>0.76363636363636367</v>
      </c>
      <c r="AL56" s="1">
        <f t="shared" si="44"/>
        <v>4.3809676642862874</v>
      </c>
      <c r="AM56" s="7">
        <f t="shared" si="45"/>
        <v>52.190483832143144</v>
      </c>
    </row>
    <row r="57" spans="1:42">
      <c r="A57" s="73" t="s">
        <v>288</v>
      </c>
      <c r="B57" s="48">
        <f>1-(V12_Min/V48_Nom)</f>
        <v>0.81818181818181812</v>
      </c>
      <c r="C57" s="42"/>
      <c r="N57" s="21"/>
    </row>
    <row r="58" spans="1:42">
      <c r="A58" s="73" t="s">
        <v>70</v>
      </c>
      <c r="B58" s="54">
        <f>((V48_Nom-V12_Nom)/(2*Lm*Fsw))*((V12_Nom*Rcs)/V48_Nom)*1000</f>
        <v>2.0701275776297838</v>
      </c>
      <c r="C58" s="42" t="s">
        <v>68</v>
      </c>
      <c r="N58" s="181"/>
      <c r="O58" s="181"/>
      <c r="P58" s="181" t="s">
        <v>75</v>
      </c>
      <c r="Q58" s="181"/>
      <c r="R58" s="181"/>
      <c r="S58" s="181"/>
      <c r="T58" s="181"/>
      <c r="U58" s="181"/>
      <c r="V58" s="181"/>
      <c r="W58" s="181"/>
      <c r="X58" s="181"/>
      <c r="Y58" s="181"/>
      <c r="Z58" s="181"/>
      <c r="AA58" s="181"/>
      <c r="AD58" s="292" t="s">
        <v>75</v>
      </c>
      <c r="AE58" s="292"/>
      <c r="AF58" s="292"/>
      <c r="AG58" s="292"/>
      <c r="AH58" s="292"/>
      <c r="AI58" s="292"/>
      <c r="AJ58" s="292"/>
      <c r="AK58" s="292"/>
      <c r="AL58" s="292"/>
      <c r="AM58" s="292"/>
      <c r="AN58" s="292"/>
      <c r="AO58" s="292"/>
    </row>
    <row r="59" spans="1:42" ht="15.75" thickBot="1">
      <c r="A59" s="73" t="s">
        <v>77</v>
      </c>
      <c r="B59" s="55">
        <f>(B58/1000)/Rcs</f>
        <v>2.0701275776297838</v>
      </c>
      <c r="C59" s="42" t="s">
        <v>4</v>
      </c>
      <c r="N59" s="181"/>
      <c r="O59" s="181"/>
      <c r="P59" s="182" t="s">
        <v>72</v>
      </c>
      <c r="Q59" s="182"/>
      <c r="R59" s="182"/>
      <c r="S59" s="182"/>
      <c r="T59" s="182" t="s">
        <v>73</v>
      </c>
      <c r="U59" s="182"/>
      <c r="V59" s="182"/>
      <c r="W59" s="182"/>
      <c r="X59" s="182" t="s">
        <v>74</v>
      </c>
      <c r="Y59" s="182"/>
      <c r="Z59" s="182"/>
      <c r="AA59" s="182"/>
      <c r="AC59" s="181"/>
      <c r="AD59" s="181"/>
      <c r="AE59" s="182" t="s">
        <v>99</v>
      </c>
      <c r="AF59" s="182"/>
      <c r="AG59" s="182"/>
      <c r="AH59" s="182"/>
      <c r="AI59" s="182" t="s">
        <v>100</v>
      </c>
      <c r="AJ59" s="182"/>
      <c r="AK59" s="182"/>
      <c r="AL59" s="182"/>
      <c r="AM59" s="182" t="s">
        <v>101</v>
      </c>
      <c r="AN59" s="182"/>
      <c r="AO59" s="182"/>
      <c r="AP59" s="182"/>
    </row>
    <row r="60" spans="1:42" ht="18.75" customHeight="1" thickBot="1">
      <c r="A60" s="73" t="s">
        <v>288</v>
      </c>
      <c r="B60" s="55">
        <f>1-(V12_Nom/V48_Nom)</f>
        <v>0.78181818181818186</v>
      </c>
      <c r="C60" s="42"/>
      <c r="N60" s="181"/>
      <c r="O60" s="181" t="s">
        <v>30</v>
      </c>
      <c r="P60" s="18" t="s">
        <v>15</v>
      </c>
      <c r="Q60" s="19" t="s">
        <v>14</v>
      </c>
      <c r="R60" s="19" t="s">
        <v>13</v>
      </c>
      <c r="S60" s="20" t="s">
        <v>12</v>
      </c>
      <c r="T60" s="18" t="s">
        <v>15</v>
      </c>
      <c r="U60" s="19" t="s">
        <v>14</v>
      </c>
      <c r="V60" s="19" t="s">
        <v>13</v>
      </c>
      <c r="W60" s="20" t="s">
        <v>12</v>
      </c>
      <c r="X60" s="18" t="s">
        <v>15</v>
      </c>
      <c r="Y60" s="19" t="s">
        <v>14</v>
      </c>
      <c r="Z60" s="19" t="s">
        <v>13</v>
      </c>
      <c r="AA60" s="20" t="s">
        <v>12</v>
      </c>
      <c r="AC60" s="181"/>
      <c r="AD60" s="181" t="s">
        <v>98</v>
      </c>
      <c r="AE60" s="18" t="s">
        <v>15</v>
      </c>
      <c r="AF60" s="19" t="s">
        <v>14</v>
      </c>
      <c r="AG60" s="19" t="s">
        <v>13</v>
      </c>
      <c r="AH60" s="20" t="s">
        <v>12</v>
      </c>
      <c r="AI60" s="18" t="s">
        <v>15</v>
      </c>
      <c r="AJ60" s="19" t="s">
        <v>14</v>
      </c>
      <c r="AK60" s="19" t="s">
        <v>13</v>
      </c>
      <c r="AL60" s="20" t="s">
        <v>12</v>
      </c>
      <c r="AM60" s="18" t="s">
        <v>15</v>
      </c>
      <c r="AN60" s="19" t="s">
        <v>14</v>
      </c>
      <c r="AO60" s="19" t="s">
        <v>13</v>
      </c>
      <c r="AP60" s="20" t="s">
        <v>12</v>
      </c>
    </row>
    <row r="61" spans="1:42">
      <c r="A61" s="73" t="s">
        <v>285</v>
      </c>
      <c r="B61" s="54">
        <f>((V48_Nom-V12_Max)/(2*Lm*Fsw))*((V12_Max*Rcs)/V48_Nom)*1000</f>
        <v>2.1904838321431437</v>
      </c>
      <c r="C61" s="42" t="s">
        <v>68</v>
      </c>
      <c r="N61">
        <v>0</v>
      </c>
      <c r="O61">
        <f>V48_Min</f>
        <v>50</v>
      </c>
      <c r="P61" s="15">
        <f t="shared" ref="P61:P92" si="46">IF(I_Channel&lt;(($O61-V12_Min)*V12_Min)/((2*Lm*Fsw)*$O61),SQRT((2*I_Channel*Lm*Fsw*V12_Min)/($O61*($O61-V12_Min))),(V12_Min/$O61))</f>
        <v>0.2</v>
      </c>
      <c r="Q61" s="16">
        <f t="shared" ref="Q61:Q92" si="47">IF(I_Channel&lt;(($O61-V12_Min)*V12_Min)/((2*Lm*Fsw)*$O61),SQRT((2*I_Channel*Lm*Fsw*V12_Min)/($O61*($O61-V12_Min)))*(($O61-V12_Min)/(V12_Min)),1-(V12_Min/$O61))</f>
        <v>0.8</v>
      </c>
      <c r="R61" s="16">
        <f t="shared" ref="R61:R92" si="48">IF(I_Channel&lt;(($O61-V12_Min)*V12_Min)/((2*Lm*Fsw)*$O61),(P61/(Fsw*Lm))*($O61-V12_Min),((P61/(Fsw*Lm))*($O61-V12_Min)))</f>
        <v>3.5304501323918802</v>
      </c>
      <c r="S61" s="17">
        <f t="shared" ref="S61:S92" si="49">IF(I_Channel&lt;(($O61-V12_Min)*V12_Min)/((2*Lm*Fsw)*$O61),(P61/(Fsw*Lm))*($O61-V12_Min),(R61/2)+I_Channel)</f>
        <v>51.765225066195939</v>
      </c>
      <c r="T61" s="15">
        <f t="shared" ref="T61:T92" si="50">IF(I_Channel&lt;(($O61-V12_Nom)*V12_Nom)/((2*Lm*Fsw)*$O61),SQRT((2*I_Channel*Lm*Fsw*V12_Nom)/($O61*($O61-V12_Nom))),(V12_Nom/$O61))</f>
        <v>0.24</v>
      </c>
      <c r="U61" s="16">
        <f t="shared" ref="U61:U92" si="51">IF(I_Channel&lt;(($O61-V12_Nom)*V12_Nom)/((2*Lm*Fsw)*$O61),SQRT((2*I_Channel*Lm*Fsw*V12_Nom)/($O61*($O61-V12_Nom)))*(($O61-V12_Nom)/(V12_Nom)),1-(V12_Nom/$O61))</f>
        <v>0.76</v>
      </c>
      <c r="V61" s="16">
        <f t="shared" ref="V61:V92" si="52">IF(I_Channel&lt;(($O61-V12_Nom)*V12_Nom)/((2*Lm*Fsw)*$O61),(T61/(Fsw*Lm))*($O61-V12_Nom),((T61/(Fsw*Lm))*($O61-V12_Nom)))</f>
        <v>4.0247131509267424</v>
      </c>
      <c r="W61" s="17">
        <f t="shared" ref="W61:W92" si="53">IF(I_Channel&lt;(($O61-V12_Nom)*V12_Nom)/((2*Lm*Fsw)*$O61),(T61/(Fsw*Lm))*($O61-V12_Nom),(V61/2)+I_Channel)</f>
        <v>52.012356575463372</v>
      </c>
      <c r="X61" s="15">
        <f t="shared" ref="X61:X92" si="54">IF(I_Channel&lt;(($O61-V12_Max)*V12_Max)/((2*Lm*Fsw)*$O61),SQRT((2*I_Channel*Lm*Fsw*V12_Max)/($O61*($O61-V12_Max))),(V12_Max/$O61))</f>
        <v>0.26</v>
      </c>
      <c r="Y61" s="16">
        <f t="shared" ref="Y61:Y92" si="55">IF(I_Channel&lt;(($O61-V12_Max)*V12_Max)/((2*Lm*Fsw)*$O61),SQRT((2*I_Channel*Lm*Fsw*V12_Max)/($O61*($O61-V12_Max)))*(($O61-V12_Max)/(V12_Max)),1-(V12_Max/$O61))</f>
        <v>0.74</v>
      </c>
      <c r="Z61" s="16">
        <f t="shared" ref="Z61:Z92" si="56">IF(I_Channel&lt;(($O61-V12_Max)*V12_Max)/((2*Lm*Fsw)*$O61),(X61/(Fsw*Lm))*($O61-V12_Max),((X61/(Fsw*Lm))*($O61-V12_Max)))</f>
        <v>4.2453662842012356</v>
      </c>
      <c r="AA61" s="17">
        <f t="shared" ref="AA61:AA92" si="57">IF(I_Channel&lt;(($O61-V12_Max)*V12_Max)/((2*Lm*Fsw)*$O61),(X61/(Fsw*Lm))*($O61-V12_Max),(Z61/2)+I_Channel)</f>
        <v>52.12268314210062</v>
      </c>
      <c r="AC61">
        <v>0</v>
      </c>
      <c r="AD61">
        <f>V12_Min</f>
        <v>10</v>
      </c>
      <c r="AE61" s="15">
        <f t="shared" ref="AE61:AE92" si="58">IF(I_Channel&lt;((V48_Min-$AD61)*$AD61)/((2*Lm*Fsw)*V48_Min),SQRT((2*I_Channel*Lm*Fsw*$AD61)/(V48_Min*(V48_Min-$AD61))),($AD61/V48_Min))</f>
        <v>0.2</v>
      </c>
      <c r="AF61" s="16">
        <f t="shared" ref="AF61:AF92" si="59">IF(I_Channel&lt;((V48_Min-$AD61)*$AD61)/((2*Lm*Fsw)*V48_Min),SQRT((2*I_Channel*Lm*Fsw*$AD61)/(V48_Min*(V48_Min-$AD61)))*((V48_Min-$AD61)/($AD61)),1-($AD61/V48_Min))</f>
        <v>0.8</v>
      </c>
      <c r="AG61" s="16">
        <f t="shared" ref="AG61:AG92" si="60">IF(I_Channel&lt;((V48_Min-$AD61)*$AD61)/((2*Lm*Fsw)*V48_Min),(AE61/(Fsw*Lm))*(V48_Min-$AD61),((AE61/(Fsw*Lm))*(V48_Min-$AD61)))</f>
        <v>3.5304501323918802</v>
      </c>
      <c r="AH61" s="17">
        <f t="shared" ref="AH61:AH92" si="61">IF(I_Channel&lt;((V48_Min-$AD61)*$AD61)/((2*Lm*Fsw)*V48_Min),(AE61/(Fsw*Lm))*(V48_Min-$AD61),(AG61/2)+I_Channel)</f>
        <v>51.765225066195939</v>
      </c>
      <c r="AI61" s="15">
        <f t="shared" ref="AI61:AI92" si="62">IF(I_Channel&lt;((V48_Nom-$AD61)*$AD61)/((2*Lm*Fsw)*V48_Nom),SQRT((2*I_Channel*Lm*Fsw*$AD61)/(V48_Nom*(V48_Nom-$AD61))),($AD61/V48_Nom))</f>
        <v>0.18181818181818182</v>
      </c>
      <c r="AJ61" s="16">
        <f t="shared" ref="AJ61:AJ92" si="63">IF(I_Channel&lt;((V48_Nom-$AD61)*$AD61)/((2*Lm*Fsw)*V48_Nom),SQRT((2*I_Channel*Lm*Fsw*$AD61)/(V48_Nom*(V48_Nom-$AD61)))*((V48_Nom-$AD61)/($AD61)),1-($AD61/V48_Nom))</f>
        <v>0.81818181818181812</v>
      </c>
      <c r="AK61" s="16">
        <f t="shared" ref="AK61:AK92" si="64">IF(I_Channel&lt;((V48_Nom-$AD61)*$AD61)/((2*Lm*Fsw)*V48_Nom),(AI61/(Fsw*Lm))*(V48_Nom-$AD61),((AI61/(Fsw*Lm))*(V48_Nom-$AD61)))</f>
        <v>3.6106876354007862</v>
      </c>
      <c r="AL61" s="17">
        <f t="shared" ref="AL61:AL92" si="65">IF(I_Channel&lt;((V48_Nom-$AD61)*$AD61)/((2*Lm*Fsw)*V48_Nom),(AI61/(Fsw*Lm))*(V48_Nom-$AD61),(AK61/2)+I_Channel)</f>
        <v>51.80534381770039</v>
      </c>
      <c r="AM61" s="15">
        <f t="shared" ref="AM61:AM92" si="66">IF(I_Channel&lt;((V48_Max-$AD61)*$AD61)/((2*Lm*Fsw)*V48_Max),SQRT((2*I_Channel*Lm*Fsw*$AD61)/(V48_Max*(V48_Max-$AD61))),($AD61/V48_Max))</f>
        <v>0.15151515151515152</v>
      </c>
      <c r="AN61" s="16">
        <f t="shared" ref="AN61:AN92" si="67">IF(I_Channel&lt;((V48_Max-$AD61)*$AD61)/((2*Lm*Fsw)*V48_Max),SQRT((2*I_Channel*Lm*Fsw*$AD61)/(V48_Max*(V48_Max-$AD61)))*((V48_Max-$AD61)/($AD61)),1-($AD61/V48_Max))</f>
        <v>0.84848484848484851</v>
      </c>
      <c r="AO61" s="16">
        <f t="shared" ref="AO61:AO92" si="68">IF(I_Channel&lt;((V48_Max-$AD61)*$AD61)/((2*Lm*Fsw)*V48_Max),(AM61/(Fsw*Lm))*(V48_Max-$AD61),((AM61/(Fsw*Lm))*(V48_Max-$AD61)))</f>
        <v>3.7444168070822972</v>
      </c>
      <c r="AP61" s="17">
        <f t="shared" ref="AP61:AP92" si="69">IF(I_Channel&lt;((V48_Max-$AD61)*$AD61)/((2*Lm*Fsw)*V48_Max),(AM61/(Fsw*Lm))*(V48_Max-$AD61),(AO61/2)+I_Channel)</f>
        <v>51.872208403541151</v>
      </c>
    </row>
    <row r="62" spans="1:42">
      <c r="A62" s="73" t="s">
        <v>284</v>
      </c>
      <c r="B62" s="55">
        <f>(B61/1000)/Rcs</f>
        <v>2.1904838321431432</v>
      </c>
      <c r="C62" s="42" t="s">
        <v>4</v>
      </c>
      <c r="N62">
        <v>1</v>
      </c>
      <c r="O62">
        <f t="shared" ref="O62:O93" si="70">((V48_Max-V48_Min)/50)*N62+V48_Min</f>
        <v>50.32</v>
      </c>
      <c r="P62" s="15">
        <f t="shared" si="46"/>
        <v>0.1987281399046105</v>
      </c>
      <c r="Q62" s="16">
        <f t="shared" si="47"/>
        <v>0.80127186009538953</v>
      </c>
      <c r="R62" s="16">
        <f t="shared" si="48"/>
        <v>3.5360629306945697</v>
      </c>
      <c r="S62" s="17">
        <f t="shared" si="49"/>
        <v>51.768031465347285</v>
      </c>
      <c r="T62" s="15">
        <f t="shared" si="50"/>
        <v>0.23847376788553259</v>
      </c>
      <c r="U62" s="16">
        <f t="shared" si="51"/>
        <v>0.76152623211446735</v>
      </c>
      <c r="V62" s="16">
        <f t="shared" si="52"/>
        <v>4.0327955804826168</v>
      </c>
      <c r="W62" s="17">
        <f t="shared" si="53"/>
        <v>52.016397790241307</v>
      </c>
      <c r="X62" s="15">
        <f t="shared" si="54"/>
        <v>0.25834658187599363</v>
      </c>
      <c r="Y62" s="16">
        <f t="shared" si="55"/>
        <v>0.74165341812400642</v>
      </c>
      <c r="Z62" s="16">
        <f t="shared" si="56"/>
        <v>4.2548519133327813</v>
      </c>
      <c r="AA62" s="17">
        <f t="shared" si="57"/>
        <v>52.127425956666393</v>
      </c>
      <c r="AC62">
        <v>1</v>
      </c>
      <c r="AD62">
        <f t="shared" ref="AD62:AD93" si="71">((V12_Max-V12_Min)/50)*AC62+V12_Min</f>
        <v>10.06</v>
      </c>
      <c r="AE62" s="15">
        <f t="shared" si="58"/>
        <v>0.20120000000000002</v>
      </c>
      <c r="AF62" s="16">
        <f t="shared" si="59"/>
        <v>0.79879999999999995</v>
      </c>
      <c r="AG62" s="16">
        <f t="shared" si="60"/>
        <v>3.5463053839364522</v>
      </c>
      <c r="AH62" s="17">
        <f t="shared" si="61"/>
        <v>51.773152691968228</v>
      </c>
      <c r="AI62" s="15">
        <f t="shared" si="62"/>
        <v>0.18290909090909091</v>
      </c>
      <c r="AJ62" s="16">
        <f t="shared" si="63"/>
        <v>0.81709090909090909</v>
      </c>
      <c r="AK62" s="16">
        <f t="shared" si="64"/>
        <v>3.6275086255315734</v>
      </c>
      <c r="AL62" s="17">
        <f t="shared" si="65"/>
        <v>51.813754312765788</v>
      </c>
      <c r="AM62" s="15">
        <f t="shared" si="66"/>
        <v>0.15242424242424243</v>
      </c>
      <c r="AN62" s="16">
        <f t="shared" si="67"/>
        <v>0.84757575757575754</v>
      </c>
      <c r="AO62" s="16">
        <f t="shared" si="68"/>
        <v>3.7628473615234426</v>
      </c>
      <c r="AP62" s="17">
        <f t="shared" si="69"/>
        <v>51.881423680761721</v>
      </c>
    </row>
    <row r="63" spans="1:42" ht="15.75" thickBot="1">
      <c r="A63" s="74" t="s">
        <v>288</v>
      </c>
      <c r="B63" s="209">
        <f>1-(V12_Max/V48_Nom)</f>
        <v>0.76363636363636367</v>
      </c>
      <c r="C63" s="75"/>
      <c r="N63">
        <v>2</v>
      </c>
      <c r="O63">
        <f t="shared" si="70"/>
        <v>50.64</v>
      </c>
      <c r="P63" s="15">
        <f t="shared" si="46"/>
        <v>0.19747235387045814</v>
      </c>
      <c r="Q63" s="16">
        <f t="shared" si="47"/>
        <v>0.80252764612954186</v>
      </c>
      <c r="R63" s="16">
        <f t="shared" si="48"/>
        <v>3.541604793157731</v>
      </c>
      <c r="S63" s="17">
        <f t="shared" si="49"/>
        <v>51.770802396578866</v>
      </c>
      <c r="T63" s="15">
        <f t="shared" si="50"/>
        <v>0.23696682464454977</v>
      </c>
      <c r="U63" s="16">
        <f t="shared" si="51"/>
        <v>0.76303317535545023</v>
      </c>
      <c r="V63" s="16">
        <f t="shared" si="52"/>
        <v>4.0407758624295687</v>
      </c>
      <c r="W63" s="17">
        <f t="shared" si="53"/>
        <v>52.020387931214785</v>
      </c>
      <c r="X63" s="15">
        <f t="shared" si="54"/>
        <v>0.25671406003159558</v>
      </c>
      <c r="Y63" s="16">
        <f t="shared" si="55"/>
        <v>0.74328593996840442</v>
      </c>
      <c r="Z63" s="16">
        <f t="shared" si="56"/>
        <v>4.2642176608955245</v>
      </c>
      <c r="AA63" s="17">
        <f t="shared" si="57"/>
        <v>52.132108830447763</v>
      </c>
      <c r="AC63">
        <v>2</v>
      </c>
      <c r="AD63">
        <f t="shared" si="71"/>
        <v>10.119999999999999</v>
      </c>
      <c r="AE63" s="15">
        <f t="shared" si="58"/>
        <v>0.2024</v>
      </c>
      <c r="AF63" s="16">
        <f t="shared" si="59"/>
        <v>0.79759999999999998</v>
      </c>
      <c r="AG63" s="16">
        <f t="shared" si="60"/>
        <v>3.5620970873786408</v>
      </c>
      <c r="AH63" s="17">
        <f t="shared" si="61"/>
        <v>51.781048543689323</v>
      </c>
      <c r="AI63" s="15">
        <f t="shared" si="62"/>
        <v>0.184</v>
      </c>
      <c r="AJ63" s="16">
        <f t="shared" si="63"/>
        <v>0.81600000000000006</v>
      </c>
      <c r="AK63" s="16">
        <f t="shared" si="64"/>
        <v>3.644271844660194</v>
      </c>
      <c r="AL63" s="17">
        <f t="shared" si="65"/>
        <v>51.822135922330098</v>
      </c>
      <c r="AM63" s="15">
        <f t="shared" si="66"/>
        <v>0.15333333333333332</v>
      </c>
      <c r="AN63" s="16">
        <f t="shared" si="67"/>
        <v>0.84666666666666668</v>
      </c>
      <c r="AO63" s="16">
        <f t="shared" si="68"/>
        <v>3.7812297734627833</v>
      </c>
      <c r="AP63" s="17">
        <f t="shared" si="69"/>
        <v>51.890614886731392</v>
      </c>
    </row>
    <row r="64" spans="1:42">
      <c r="N64">
        <v>3</v>
      </c>
      <c r="O64">
        <f t="shared" si="70"/>
        <v>50.96</v>
      </c>
      <c r="P64" s="15">
        <f t="shared" si="46"/>
        <v>0.19623233908948196</v>
      </c>
      <c r="Q64" s="16">
        <f t="shared" si="47"/>
        <v>0.80376766091051799</v>
      </c>
      <c r="R64" s="16">
        <f t="shared" si="48"/>
        <v>3.5470770560923128</v>
      </c>
      <c r="S64" s="17">
        <f t="shared" si="49"/>
        <v>51.77353852804616</v>
      </c>
      <c r="T64" s="15">
        <f t="shared" si="50"/>
        <v>0.23547880690737832</v>
      </c>
      <c r="U64" s="16">
        <f t="shared" si="51"/>
        <v>0.76452119309262168</v>
      </c>
      <c r="V64" s="16">
        <f t="shared" si="52"/>
        <v>4.0486559210553663</v>
      </c>
      <c r="W64" s="17">
        <f t="shared" si="53"/>
        <v>52.024327960527685</v>
      </c>
      <c r="X64" s="15">
        <f t="shared" si="54"/>
        <v>0.25510204081632654</v>
      </c>
      <c r="Y64" s="16">
        <f t="shared" si="55"/>
        <v>0.74489795918367352</v>
      </c>
      <c r="Z64" s="16">
        <f t="shared" si="56"/>
        <v>4.2734657852549676</v>
      </c>
      <c r="AA64" s="17">
        <f t="shared" si="57"/>
        <v>52.136732892627485</v>
      </c>
      <c r="AC64">
        <v>3</v>
      </c>
      <c r="AD64">
        <f t="shared" si="71"/>
        <v>10.18</v>
      </c>
      <c r="AE64" s="15">
        <f t="shared" si="58"/>
        <v>0.2036</v>
      </c>
      <c r="AF64" s="16">
        <f t="shared" si="59"/>
        <v>0.7964</v>
      </c>
      <c r="AG64" s="16">
        <f t="shared" si="60"/>
        <v>3.5778252427184465</v>
      </c>
      <c r="AH64" s="17">
        <f t="shared" si="61"/>
        <v>51.788912621359223</v>
      </c>
      <c r="AI64" s="15">
        <f t="shared" si="62"/>
        <v>0.18509090909090908</v>
      </c>
      <c r="AJ64" s="16">
        <f t="shared" si="63"/>
        <v>0.81490909090909092</v>
      </c>
      <c r="AK64" s="16">
        <f t="shared" si="64"/>
        <v>3.6609772927866482</v>
      </c>
      <c r="AL64" s="17">
        <f t="shared" si="65"/>
        <v>51.830488646393327</v>
      </c>
      <c r="AM64" s="15">
        <f t="shared" si="66"/>
        <v>0.15424242424242424</v>
      </c>
      <c r="AN64" s="16">
        <f t="shared" si="67"/>
        <v>0.84575757575757571</v>
      </c>
      <c r="AO64" s="16">
        <f t="shared" si="68"/>
        <v>3.7995640429003186</v>
      </c>
      <c r="AP64" s="17">
        <f t="shared" si="69"/>
        <v>51.899782021450157</v>
      </c>
    </row>
    <row r="65" spans="1:42">
      <c r="N65">
        <v>4</v>
      </c>
      <c r="O65">
        <f t="shared" si="70"/>
        <v>51.28</v>
      </c>
      <c r="P65" s="15">
        <f t="shared" si="46"/>
        <v>0.19500780031201248</v>
      </c>
      <c r="Q65" s="16">
        <f t="shared" si="47"/>
        <v>0.80499219968798752</v>
      </c>
      <c r="R65" s="16">
        <f t="shared" si="48"/>
        <v>3.5524810224536076</v>
      </c>
      <c r="S65" s="17">
        <f t="shared" si="49"/>
        <v>51.776240511226803</v>
      </c>
      <c r="T65" s="15">
        <f t="shared" si="50"/>
        <v>0.23400936037441497</v>
      </c>
      <c r="U65" s="16">
        <f t="shared" si="51"/>
        <v>0.765990639625585</v>
      </c>
      <c r="V65" s="16">
        <f t="shared" si="52"/>
        <v>4.0564376326156308</v>
      </c>
      <c r="W65" s="17">
        <f t="shared" si="53"/>
        <v>52.028218816307813</v>
      </c>
      <c r="X65" s="15">
        <f t="shared" si="54"/>
        <v>0.2535101404056162</v>
      </c>
      <c r="Y65" s="16">
        <f t="shared" si="55"/>
        <v>0.74648985959438385</v>
      </c>
      <c r="Z65" s="16">
        <f t="shared" si="56"/>
        <v>4.2825984884055552</v>
      </c>
      <c r="AA65" s="17">
        <f t="shared" si="57"/>
        <v>52.141299244202777</v>
      </c>
      <c r="AC65">
        <v>4</v>
      </c>
      <c r="AD65">
        <f t="shared" si="71"/>
        <v>10.24</v>
      </c>
      <c r="AE65" s="15">
        <f t="shared" si="58"/>
        <v>0.20480000000000001</v>
      </c>
      <c r="AF65" s="16">
        <f t="shared" si="59"/>
        <v>0.79520000000000002</v>
      </c>
      <c r="AG65" s="16">
        <f t="shared" si="60"/>
        <v>3.5934898499558696</v>
      </c>
      <c r="AH65" s="17">
        <f t="shared" si="61"/>
        <v>51.796744924977936</v>
      </c>
      <c r="AI65" s="15">
        <f t="shared" si="62"/>
        <v>0.1861818181818182</v>
      </c>
      <c r="AJ65" s="16">
        <f t="shared" si="63"/>
        <v>0.81381818181818177</v>
      </c>
      <c r="AK65" s="16">
        <f t="shared" si="64"/>
        <v>3.6776249699109367</v>
      </c>
      <c r="AL65" s="17">
        <f t="shared" si="65"/>
        <v>51.838812484955469</v>
      </c>
      <c r="AM65" s="15">
        <f t="shared" si="66"/>
        <v>0.15515151515151515</v>
      </c>
      <c r="AN65" s="16">
        <f t="shared" si="67"/>
        <v>0.84484848484848485</v>
      </c>
      <c r="AO65" s="16">
        <f t="shared" si="68"/>
        <v>3.8178501698360479</v>
      </c>
      <c r="AP65" s="17">
        <f t="shared" si="69"/>
        <v>51.908925084918025</v>
      </c>
    </row>
    <row r="66" spans="1:42">
      <c r="N66">
        <v>5</v>
      </c>
      <c r="O66">
        <f t="shared" si="70"/>
        <v>51.6</v>
      </c>
      <c r="P66" s="15">
        <f t="shared" si="46"/>
        <v>0.19379844961240308</v>
      </c>
      <c r="Q66" s="16">
        <f t="shared" si="47"/>
        <v>0.80620155038759689</v>
      </c>
      <c r="R66" s="16">
        <f t="shared" si="48"/>
        <v>3.5578179628755375</v>
      </c>
      <c r="S66" s="17">
        <f t="shared" si="49"/>
        <v>51.778908981437766</v>
      </c>
      <c r="T66" s="15">
        <f t="shared" si="50"/>
        <v>0.23255813953488372</v>
      </c>
      <c r="U66" s="16">
        <f t="shared" si="51"/>
        <v>0.76744186046511631</v>
      </c>
      <c r="V66" s="16">
        <f t="shared" si="52"/>
        <v>4.064122826823211</v>
      </c>
      <c r="W66" s="17">
        <f t="shared" si="53"/>
        <v>52.032061413411604</v>
      </c>
      <c r="X66" s="15">
        <f t="shared" si="54"/>
        <v>0.25193798449612403</v>
      </c>
      <c r="Y66" s="16">
        <f t="shared" si="55"/>
        <v>0.74806201550387597</v>
      </c>
      <c r="Z66" s="16">
        <f t="shared" si="56"/>
        <v>4.291617917718618</v>
      </c>
      <c r="AA66" s="17">
        <f t="shared" si="57"/>
        <v>52.145808958859305</v>
      </c>
      <c r="AC66">
        <v>5</v>
      </c>
      <c r="AD66">
        <f t="shared" si="71"/>
        <v>10.3</v>
      </c>
      <c r="AE66" s="15">
        <f t="shared" si="58"/>
        <v>0.20600000000000002</v>
      </c>
      <c r="AF66" s="16">
        <f t="shared" si="59"/>
        <v>0.79400000000000004</v>
      </c>
      <c r="AG66" s="16">
        <f t="shared" si="60"/>
        <v>3.6090909090909093</v>
      </c>
      <c r="AH66" s="17">
        <f t="shared" si="61"/>
        <v>51.804545454545455</v>
      </c>
      <c r="AI66" s="15">
        <f t="shared" si="62"/>
        <v>0.18727272727272729</v>
      </c>
      <c r="AJ66" s="16">
        <f t="shared" si="63"/>
        <v>0.81272727272727274</v>
      </c>
      <c r="AK66" s="16">
        <f t="shared" si="64"/>
        <v>3.6942148760330582</v>
      </c>
      <c r="AL66" s="17">
        <f t="shared" si="65"/>
        <v>51.847107438016529</v>
      </c>
      <c r="AM66" s="15">
        <f t="shared" si="66"/>
        <v>0.15606060606060607</v>
      </c>
      <c r="AN66" s="16">
        <f t="shared" si="67"/>
        <v>0.84393939393939399</v>
      </c>
      <c r="AO66" s="16">
        <f t="shared" si="68"/>
        <v>3.836088154269973</v>
      </c>
      <c r="AP66" s="17">
        <f t="shared" si="69"/>
        <v>51.918044077134986</v>
      </c>
    </row>
    <row r="67" spans="1:42" ht="15.75" thickBot="1">
      <c r="N67">
        <v>6</v>
      </c>
      <c r="O67">
        <f t="shared" si="70"/>
        <v>51.92</v>
      </c>
      <c r="P67" s="15">
        <f t="shared" si="46"/>
        <v>0.19260400616332818</v>
      </c>
      <c r="Q67" s="16">
        <f t="shared" si="47"/>
        <v>0.80739599383667182</v>
      </c>
      <c r="R67" s="16">
        <f t="shared" si="48"/>
        <v>3.5630891166666889</v>
      </c>
      <c r="S67" s="17">
        <f t="shared" si="49"/>
        <v>51.781544558333344</v>
      </c>
      <c r="T67" s="15">
        <f t="shared" si="50"/>
        <v>0.23112480739599384</v>
      </c>
      <c r="U67" s="16">
        <f t="shared" si="51"/>
        <v>0.76887519260400616</v>
      </c>
      <c r="V67" s="16">
        <f t="shared" si="52"/>
        <v>4.0717132882824689</v>
      </c>
      <c r="W67" s="17">
        <f t="shared" si="53"/>
        <v>52.035856644141234</v>
      </c>
      <c r="X67" s="15">
        <f t="shared" si="54"/>
        <v>0.25038520801232667</v>
      </c>
      <c r="Y67" s="16">
        <f t="shared" si="55"/>
        <v>0.74961479198767333</v>
      </c>
      <c r="Z67" s="16">
        <f t="shared" si="56"/>
        <v>4.3005261676256641</v>
      </c>
      <c r="AA67" s="17">
        <f t="shared" si="57"/>
        <v>52.150263083812831</v>
      </c>
      <c r="AC67">
        <v>6</v>
      </c>
      <c r="AD67">
        <f t="shared" si="71"/>
        <v>10.36</v>
      </c>
      <c r="AE67" s="15">
        <f t="shared" si="58"/>
        <v>0.2072</v>
      </c>
      <c r="AF67" s="16">
        <f t="shared" si="59"/>
        <v>0.79279999999999995</v>
      </c>
      <c r="AG67" s="16">
        <f t="shared" si="60"/>
        <v>3.6246284201235657</v>
      </c>
      <c r="AH67" s="17">
        <f t="shared" si="61"/>
        <v>51.812314210061786</v>
      </c>
      <c r="AI67" s="15">
        <f t="shared" si="62"/>
        <v>0.18836363636363634</v>
      </c>
      <c r="AJ67" s="16">
        <f t="shared" si="63"/>
        <v>0.81163636363636371</v>
      </c>
      <c r="AK67" s="16">
        <f t="shared" si="64"/>
        <v>3.7107470111530128</v>
      </c>
      <c r="AL67" s="17">
        <f t="shared" si="65"/>
        <v>51.855373505576509</v>
      </c>
      <c r="AM67" s="15">
        <f t="shared" si="66"/>
        <v>0.15696969696969695</v>
      </c>
      <c r="AN67" s="16">
        <f t="shared" si="67"/>
        <v>0.84303030303030302</v>
      </c>
      <c r="AO67" s="16">
        <f t="shared" si="68"/>
        <v>3.8542779962020908</v>
      </c>
      <c r="AP67" s="17">
        <f t="shared" si="69"/>
        <v>51.927138998101043</v>
      </c>
    </row>
    <row r="68" spans="1:42">
      <c r="A68" s="286" t="s">
        <v>69</v>
      </c>
      <c r="B68" s="287"/>
      <c r="C68" s="288"/>
      <c r="E68" s="61" t="s">
        <v>140</v>
      </c>
      <c r="N68">
        <v>7</v>
      </c>
      <c r="O68">
        <f t="shared" si="70"/>
        <v>52.24</v>
      </c>
      <c r="P68" s="15">
        <f t="shared" si="46"/>
        <v>0.19142419601837671</v>
      </c>
      <c r="Q68" s="16">
        <f t="shared" si="47"/>
        <v>0.80857580398162332</v>
      </c>
      <c r="R68" s="16">
        <f t="shared" si="48"/>
        <v>3.5682956927697407</v>
      </c>
      <c r="S68" s="17">
        <f t="shared" si="49"/>
        <v>51.784147846384869</v>
      </c>
      <c r="T68" s="15">
        <f t="shared" si="50"/>
        <v>0.22970903522205205</v>
      </c>
      <c r="U68" s="16">
        <f t="shared" si="51"/>
        <v>0.7702909647779479</v>
      </c>
      <c r="V68" s="16">
        <f t="shared" si="52"/>
        <v>4.0792107578708627</v>
      </c>
      <c r="W68" s="17">
        <f t="shared" si="53"/>
        <v>52.039605378935434</v>
      </c>
      <c r="X68" s="15">
        <f t="shared" si="54"/>
        <v>0.24885145482388973</v>
      </c>
      <c r="Y68" s="16">
        <f t="shared" si="55"/>
        <v>0.75114854517611029</v>
      </c>
      <c r="Z68" s="16">
        <f t="shared" si="56"/>
        <v>4.3093252812398202</v>
      </c>
      <c r="AA68" s="17">
        <f t="shared" si="57"/>
        <v>52.154662640619911</v>
      </c>
      <c r="AC68">
        <v>7</v>
      </c>
      <c r="AD68">
        <f t="shared" si="71"/>
        <v>10.42</v>
      </c>
      <c r="AE68" s="15">
        <f t="shared" si="58"/>
        <v>0.2084</v>
      </c>
      <c r="AF68" s="16">
        <f t="shared" si="59"/>
        <v>0.79159999999999997</v>
      </c>
      <c r="AG68" s="16">
        <f t="shared" si="60"/>
        <v>3.6401023830538395</v>
      </c>
      <c r="AH68" s="17">
        <f t="shared" si="61"/>
        <v>51.820051191526922</v>
      </c>
      <c r="AI68" s="15">
        <f t="shared" si="62"/>
        <v>0.18945454545454546</v>
      </c>
      <c r="AJ68" s="16">
        <f t="shared" si="63"/>
        <v>0.81054545454545457</v>
      </c>
      <c r="AK68" s="16">
        <f t="shared" si="64"/>
        <v>3.7272213752708012</v>
      </c>
      <c r="AL68" s="17">
        <f t="shared" si="65"/>
        <v>51.863610687635401</v>
      </c>
      <c r="AM68" s="15">
        <f t="shared" si="66"/>
        <v>0.15787878787878787</v>
      </c>
      <c r="AN68" s="16">
        <f t="shared" si="67"/>
        <v>0.84212121212121216</v>
      </c>
      <c r="AO68" s="16">
        <f t="shared" si="68"/>
        <v>3.8724196956324044</v>
      </c>
      <c r="AP68" s="17">
        <f t="shared" si="69"/>
        <v>51.936209847816201</v>
      </c>
    </row>
    <row r="69" spans="1:42">
      <c r="A69" s="210" t="s">
        <v>67</v>
      </c>
      <c r="B69" s="55">
        <f>IF(V48_Max/2&gt;V12_Nom,((V48_Max-V12_Nom)*(V12_Nom/V48_Max))/(Lm*Fsw),((V48_Max-(V48_Max/2))*(V12_Nom/V48_Max))/(Lm*Fsw))</f>
        <v>4.332825162480944</v>
      </c>
      <c r="C69" s="42" t="s">
        <v>4</v>
      </c>
      <c r="E69" s="36" t="s">
        <v>162</v>
      </c>
      <c r="N69">
        <v>8</v>
      </c>
      <c r="O69">
        <f t="shared" si="70"/>
        <v>52.56</v>
      </c>
      <c r="P69" s="15">
        <f t="shared" si="46"/>
        <v>0.19025875190258751</v>
      </c>
      <c r="Q69" s="16">
        <f t="shared" si="47"/>
        <v>0.80974124809741244</v>
      </c>
      <c r="R69" s="16">
        <f t="shared" si="48"/>
        <v>3.5734388706858451</v>
      </c>
      <c r="S69" s="17">
        <f t="shared" si="49"/>
        <v>51.786719435342924</v>
      </c>
      <c r="T69" s="15">
        <f t="shared" si="50"/>
        <v>0.22831050228310501</v>
      </c>
      <c r="U69" s="16">
        <f t="shared" si="51"/>
        <v>0.77168949771689499</v>
      </c>
      <c r="V69" s="16">
        <f t="shared" si="52"/>
        <v>4.0866169340700527</v>
      </c>
      <c r="W69" s="17">
        <f t="shared" si="53"/>
        <v>52.043308467035025</v>
      </c>
      <c r="X69" s="15">
        <f t="shared" si="54"/>
        <v>0.24733637747336376</v>
      </c>
      <c r="Y69" s="16">
        <f t="shared" si="55"/>
        <v>0.75266362252663621</v>
      </c>
      <c r="Z69" s="16">
        <f t="shared" si="56"/>
        <v>4.3180172519180369</v>
      </c>
      <c r="AA69" s="17">
        <f t="shared" si="57"/>
        <v>52.159008625959018</v>
      </c>
      <c r="AC69">
        <v>8</v>
      </c>
      <c r="AD69">
        <f t="shared" si="71"/>
        <v>10.48</v>
      </c>
      <c r="AE69" s="15">
        <f t="shared" si="58"/>
        <v>0.20960000000000001</v>
      </c>
      <c r="AF69" s="16">
        <f t="shared" si="59"/>
        <v>0.79039999999999999</v>
      </c>
      <c r="AG69" s="16">
        <f t="shared" si="60"/>
        <v>3.6555127978817294</v>
      </c>
      <c r="AH69" s="17">
        <f t="shared" si="61"/>
        <v>51.827756398940863</v>
      </c>
      <c r="AI69" s="15">
        <f t="shared" si="62"/>
        <v>0.19054545454545455</v>
      </c>
      <c r="AJ69" s="16">
        <f t="shared" si="63"/>
        <v>0.80945454545454543</v>
      </c>
      <c r="AK69" s="16">
        <f t="shared" si="64"/>
        <v>3.7436379683864236</v>
      </c>
      <c r="AL69" s="17">
        <f t="shared" si="65"/>
        <v>51.871818984193212</v>
      </c>
      <c r="AM69" s="15">
        <f t="shared" si="66"/>
        <v>0.15878787878787878</v>
      </c>
      <c r="AN69" s="16">
        <f t="shared" si="67"/>
        <v>0.84121212121212119</v>
      </c>
      <c r="AO69" s="16">
        <f t="shared" si="68"/>
        <v>3.8905132525609134</v>
      </c>
      <c r="AP69" s="17">
        <f t="shared" si="69"/>
        <v>51.945256626280454</v>
      </c>
    </row>
    <row r="70" spans="1:42">
      <c r="A70" s="211" t="s">
        <v>383</v>
      </c>
      <c r="B70" s="55">
        <f>(V48_Max-V12_Nom)*(V12_Nom/V48_Max)/(B43*Fsw)*(1000000)</f>
        <v>4.3328251624809431</v>
      </c>
      <c r="C70" s="42" t="s">
        <v>4</v>
      </c>
      <c r="N70">
        <v>9</v>
      </c>
      <c r="O70">
        <f t="shared" si="70"/>
        <v>52.88</v>
      </c>
      <c r="P70" s="15">
        <f t="shared" si="46"/>
        <v>0.18910741301059</v>
      </c>
      <c r="Q70" s="16">
        <f t="shared" si="47"/>
        <v>0.81089258698941002</v>
      </c>
      <c r="R70" s="16">
        <f t="shared" si="48"/>
        <v>3.5785198013654451</v>
      </c>
      <c r="S70" s="17">
        <f t="shared" si="49"/>
        <v>51.789259900682723</v>
      </c>
      <c r="T70" s="15">
        <f t="shared" si="50"/>
        <v>0.22692889561270801</v>
      </c>
      <c r="U70" s="16">
        <f t="shared" si="51"/>
        <v>0.77307110438729199</v>
      </c>
      <c r="V70" s="16">
        <f t="shared" si="52"/>
        <v>4.0939334742486775</v>
      </c>
      <c r="W70" s="17">
        <f t="shared" si="53"/>
        <v>52.046966737124336</v>
      </c>
      <c r="X70" s="15">
        <f t="shared" si="54"/>
        <v>0.24583963691376701</v>
      </c>
      <c r="Y70" s="16">
        <f t="shared" si="55"/>
        <v>0.75416036308623302</v>
      </c>
      <c r="Z70" s="16">
        <f t="shared" si="56"/>
        <v>4.3266040247665618</v>
      </c>
      <c r="AA70" s="17">
        <f t="shared" si="57"/>
        <v>52.163302012383284</v>
      </c>
      <c r="AC70">
        <v>9</v>
      </c>
      <c r="AD70">
        <f t="shared" si="71"/>
        <v>10.54</v>
      </c>
      <c r="AE70" s="15">
        <f t="shared" si="58"/>
        <v>0.21079999999999999</v>
      </c>
      <c r="AF70" s="16">
        <f t="shared" si="59"/>
        <v>0.78920000000000001</v>
      </c>
      <c r="AG70" s="16">
        <f t="shared" si="60"/>
        <v>3.6708596646072373</v>
      </c>
      <c r="AH70" s="17">
        <f t="shared" si="61"/>
        <v>51.835429832303618</v>
      </c>
      <c r="AI70" s="15">
        <f t="shared" si="62"/>
        <v>0.19163636363636363</v>
      </c>
      <c r="AJ70" s="16">
        <f t="shared" si="63"/>
        <v>0.8083636363636364</v>
      </c>
      <c r="AK70" s="16">
        <f t="shared" si="64"/>
        <v>3.7599967904998799</v>
      </c>
      <c r="AL70" s="17">
        <f t="shared" si="65"/>
        <v>51.879998395249942</v>
      </c>
      <c r="AM70" s="15">
        <f t="shared" si="66"/>
        <v>0.15969696969696967</v>
      </c>
      <c r="AN70" s="16">
        <f t="shared" si="67"/>
        <v>0.84030303030303033</v>
      </c>
      <c r="AO70" s="16">
        <f t="shared" si="68"/>
        <v>3.908558666987616</v>
      </c>
      <c r="AP70" s="17">
        <f t="shared" si="69"/>
        <v>51.954279333493808</v>
      </c>
    </row>
    <row r="71" spans="1:42">
      <c r="A71" s="211" t="s">
        <v>384</v>
      </c>
      <c r="B71" s="55"/>
      <c r="C71" s="42" t="s">
        <v>4</v>
      </c>
      <c r="E71" s="36" t="s">
        <v>387</v>
      </c>
      <c r="N71">
        <v>10</v>
      </c>
      <c r="O71">
        <f t="shared" si="70"/>
        <v>53.2</v>
      </c>
      <c r="P71" s="15">
        <f t="shared" si="46"/>
        <v>0.18796992481203006</v>
      </c>
      <c r="Q71" s="16">
        <f t="shared" si="47"/>
        <v>0.81203007518796988</v>
      </c>
      <c r="R71" s="16">
        <f t="shared" si="48"/>
        <v>3.5835396080669462</v>
      </c>
      <c r="S71" s="17">
        <f t="shared" si="49"/>
        <v>51.791769804033471</v>
      </c>
      <c r="T71" s="15">
        <f t="shared" si="50"/>
        <v>0.22556390977443608</v>
      </c>
      <c r="U71" s="16">
        <f t="shared" si="51"/>
        <v>0.77443609022556392</v>
      </c>
      <c r="V71" s="16">
        <f t="shared" si="52"/>
        <v>4.1011619958988383</v>
      </c>
      <c r="W71" s="17">
        <f t="shared" si="53"/>
        <v>52.050580997949417</v>
      </c>
      <c r="X71" s="15">
        <f t="shared" si="54"/>
        <v>0.24436090225563908</v>
      </c>
      <c r="Y71" s="16">
        <f t="shared" si="55"/>
        <v>0.75563909774436089</v>
      </c>
      <c r="Z71" s="16">
        <f t="shared" si="56"/>
        <v>4.335087498092097</v>
      </c>
      <c r="AA71" s="17">
        <f t="shared" si="57"/>
        <v>52.167543749046047</v>
      </c>
      <c r="AC71">
        <v>10</v>
      </c>
      <c r="AD71">
        <f t="shared" si="71"/>
        <v>10.6</v>
      </c>
      <c r="AE71" s="15">
        <f t="shared" si="58"/>
        <v>0.21199999999999999</v>
      </c>
      <c r="AF71" s="16">
        <f t="shared" si="59"/>
        <v>0.78800000000000003</v>
      </c>
      <c r="AG71" s="16">
        <f t="shared" si="60"/>
        <v>3.6861429832303618</v>
      </c>
      <c r="AH71" s="17">
        <f t="shared" si="61"/>
        <v>51.843071491615184</v>
      </c>
      <c r="AI71" s="15">
        <f t="shared" si="62"/>
        <v>0.19272727272727272</v>
      </c>
      <c r="AJ71" s="16">
        <f t="shared" si="63"/>
        <v>0.80727272727272725</v>
      </c>
      <c r="AK71" s="16">
        <f t="shared" si="64"/>
        <v>3.7762978416111683</v>
      </c>
      <c r="AL71" s="17">
        <f t="shared" si="65"/>
        <v>51.888148920805584</v>
      </c>
      <c r="AM71" s="15">
        <f t="shared" si="66"/>
        <v>0.16060606060606061</v>
      </c>
      <c r="AN71" s="16">
        <f t="shared" si="67"/>
        <v>0.83939393939393936</v>
      </c>
      <c r="AO71" s="16">
        <f t="shared" si="68"/>
        <v>3.9265559389125144</v>
      </c>
      <c r="AP71" s="17">
        <f t="shared" si="69"/>
        <v>51.963277969456257</v>
      </c>
    </row>
    <row r="72" spans="1:42">
      <c r="A72" s="211" t="s">
        <v>388</v>
      </c>
      <c r="B72" s="55"/>
      <c r="C72" s="42" t="s">
        <v>4</v>
      </c>
      <c r="N72">
        <v>11</v>
      </c>
      <c r="O72">
        <f t="shared" si="70"/>
        <v>53.52</v>
      </c>
      <c r="P72" s="15">
        <f t="shared" si="46"/>
        <v>0.18684603886397608</v>
      </c>
      <c r="Q72" s="16">
        <f t="shared" si="47"/>
        <v>0.8131539611360239</v>
      </c>
      <c r="R72" s="16">
        <f t="shared" si="48"/>
        <v>3.5884993871845716</v>
      </c>
      <c r="S72" s="17">
        <f t="shared" si="49"/>
        <v>51.794249693592285</v>
      </c>
      <c r="T72" s="15">
        <f t="shared" si="50"/>
        <v>0.22421524663677128</v>
      </c>
      <c r="U72" s="16">
        <f t="shared" si="51"/>
        <v>0.77578475336322872</v>
      </c>
      <c r="V72" s="16">
        <f t="shared" si="52"/>
        <v>4.1083040778282189</v>
      </c>
      <c r="W72" s="17">
        <f t="shared" si="53"/>
        <v>52.054152038914111</v>
      </c>
      <c r="X72" s="15">
        <f t="shared" si="54"/>
        <v>0.2428998505231689</v>
      </c>
      <c r="Y72" s="16">
        <f t="shared" si="55"/>
        <v>0.75710014947683113</v>
      </c>
      <c r="Z72" s="16">
        <f t="shared" si="56"/>
        <v>4.3434695248008843</v>
      </c>
      <c r="AA72" s="17">
        <f t="shared" si="57"/>
        <v>52.17173476240044</v>
      </c>
      <c r="AC72">
        <v>11</v>
      </c>
      <c r="AD72">
        <f t="shared" si="71"/>
        <v>10.66</v>
      </c>
      <c r="AE72" s="15">
        <f t="shared" si="58"/>
        <v>0.2132</v>
      </c>
      <c r="AF72" s="16">
        <f t="shared" si="59"/>
        <v>0.78679999999999994</v>
      </c>
      <c r="AG72" s="16">
        <f t="shared" si="60"/>
        <v>3.7013627537511038</v>
      </c>
      <c r="AH72" s="17">
        <f t="shared" si="61"/>
        <v>51.850681376875549</v>
      </c>
      <c r="AI72" s="15">
        <f t="shared" si="62"/>
        <v>0.19381818181818183</v>
      </c>
      <c r="AJ72" s="16">
        <f t="shared" si="63"/>
        <v>0.80618181818181811</v>
      </c>
      <c r="AK72" s="16">
        <f t="shared" si="64"/>
        <v>3.7925411217202925</v>
      </c>
      <c r="AL72" s="17">
        <f t="shared" si="65"/>
        <v>51.896270560860145</v>
      </c>
      <c r="AM72" s="15">
        <f t="shared" si="66"/>
        <v>0.16151515151515153</v>
      </c>
      <c r="AN72" s="16">
        <f t="shared" si="67"/>
        <v>0.8384848484848485</v>
      </c>
      <c r="AO72" s="16">
        <f t="shared" si="68"/>
        <v>3.9445050683356073</v>
      </c>
      <c r="AP72" s="17">
        <f t="shared" si="69"/>
        <v>51.972252534167801</v>
      </c>
    </row>
    <row r="73" spans="1:42">
      <c r="A73" s="211" t="s">
        <v>386</v>
      </c>
      <c r="B73" s="55">
        <f>(B70/2)+B25</f>
        <v>8.166412581240472</v>
      </c>
      <c r="C73" s="42" t="s">
        <v>4</v>
      </c>
      <c r="N73">
        <v>12</v>
      </c>
      <c r="O73">
        <f t="shared" si="70"/>
        <v>53.84</v>
      </c>
      <c r="P73" s="15">
        <f t="shared" si="46"/>
        <v>0.18573551263001484</v>
      </c>
      <c r="Q73" s="16">
        <f t="shared" si="47"/>
        <v>0.81426448736998513</v>
      </c>
      <c r="R73" s="16">
        <f t="shared" si="48"/>
        <v>3.5934002090467128</v>
      </c>
      <c r="S73" s="17">
        <f t="shared" si="49"/>
        <v>51.796700104523353</v>
      </c>
      <c r="T73" s="15">
        <f t="shared" si="50"/>
        <v>0.22288261515601782</v>
      </c>
      <c r="U73" s="16">
        <f t="shared" si="51"/>
        <v>0.77711738484398218</v>
      </c>
      <c r="V73" s="16">
        <f t="shared" si="52"/>
        <v>4.1153612613097028</v>
      </c>
      <c r="W73" s="17">
        <f t="shared" si="53"/>
        <v>52.057680630654851</v>
      </c>
      <c r="X73" s="15">
        <f t="shared" si="54"/>
        <v>0.24145616641901929</v>
      </c>
      <c r="Y73" s="16">
        <f t="shared" si="55"/>
        <v>0.75854383358098065</v>
      </c>
      <c r="Z73" s="16">
        <f t="shared" si="56"/>
        <v>4.3517519137479033</v>
      </c>
      <c r="AA73" s="17">
        <f t="shared" si="57"/>
        <v>52.175875956873952</v>
      </c>
      <c r="AC73">
        <v>12</v>
      </c>
      <c r="AD73">
        <f t="shared" si="71"/>
        <v>10.72</v>
      </c>
      <c r="AE73" s="15">
        <f t="shared" si="58"/>
        <v>0.21440000000000001</v>
      </c>
      <c r="AF73" s="16">
        <f t="shared" si="59"/>
        <v>0.78559999999999997</v>
      </c>
      <c r="AG73" s="16">
        <f t="shared" si="60"/>
        <v>3.7165189761694619</v>
      </c>
      <c r="AH73" s="17">
        <f t="shared" si="61"/>
        <v>51.858259488084734</v>
      </c>
      <c r="AI73" s="15">
        <f t="shared" si="62"/>
        <v>0.19490909090909092</v>
      </c>
      <c r="AJ73" s="16">
        <f t="shared" si="63"/>
        <v>0.80509090909090908</v>
      </c>
      <c r="AK73" s="16">
        <f t="shared" si="64"/>
        <v>3.8087266308272492</v>
      </c>
      <c r="AL73" s="17">
        <f t="shared" si="65"/>
        <v>51.904363315413626</v>
      </c>
      <c r="AM73" s="15">
        <f t="shared" si="66"/>
        <v>0.16242424242424244</v>
      </c>
      <c r="AN73" s="16">
        <f t="shared" si="67"/>
        <v>0.83757575757575753</v>
      </c>
      <c r="AO73" s="16">
        <f t="shared" si="68"/>
        <v>3.9624060552568938</v>
      </c>
      <c r="AP73" s="17">
        <f t="shared" si="69"/>
        <v>51.981203027628446</v>
      </c>
    </row>
    <row r="74" spans="1:42">
      <c r="A74" s="211" t="s">
        <v>385</v>
      </c>
      <c r="B74" s="55"/>
      <c r="C74" s="42" t="s">
        <v>4</v>
      </c>
      <c r="N74">
        <v>13</v>
      </c>
      <c r="O74">
        <f t="shared" si="70"/>
        <v>54.16</v>
      </c>
      <c r="P74" s="15">
        <f t="shared" si="46"/>
        <v>0.18463810930576072</v>
      </c>
      <c r="Q74" s="16">
        <f t="shared" si="47"/>
        <v>0.81536189069423926</v>
      </c>
      <c r="R74" s="16">
        <f t="shared" si="48"/>
        <v>3.5982431186859634</v>
      </c>
      <c r="S74" s="17">
        <f t="shared" si="49"/>
        <v>51.799121559342979</v>
      </c>
      <c r="T74" s="15">
        <f t="shared" si="50"/>
        <v>0.22156573116691286</v>
      </c>
      <c r="U74" s="16">
        <f t="shared" si="51"/>
        <v>0.7784342688330872</v>
      </c>
      <c r="V74" s="16">
        <f t="shared" si="52"/>
        <v>4.1223350511902233</v>
      </c>
      <c r="W74" s="17">
        <f t="shared" si="53"/>
        <v>52.06116752559511</v>
      </c>
      <c r="X74" s="15">
        <f t="shared" si="54"/>
        <v>0.24002954209748895</v>
      </c>
      <c r="Y74" s="16">
        <f t="shared" si="55"/>
        <v>0.75997045790251105</v>
      </c>
      <c r="Z74" s="16">
        <f t="shared" si="56"/>
        <v>4.3599364310382365</v>
      </c>
      <c r="AA74" s="17">
        <f t="shared" si="57"/>
        <v>52.179968215519118</v>
      </c>
      <c r="AC74">
        <v>13</v>
      </c>
      <c r="AD74">
        <f t="shared" si="71"/>
        <v>10.78</v>
      </c>
      <c r="AE74" s="15">
        <f t="shared" si="58"/>
        <v>0.21559999999999999</v>
      </c>
      <c r="AF74" s="16">
        <f t="shared" si="59"/>
        <v>0.78439999999999999</v>
      </c>
      <c r="AG74" s="16">
        <f t="shared" si="60"/>
        <v>3.7316116504854366</v>
      </c>
      <c r="AH74" s="17">
        <f t="shared" si="61"/>
        <v>51.865805825242717</v>
      </c>
      <c r="AI74" s="15">
        <f t="shared" si="62"/>
        <v>0.19599999999999998</v>
      </c>
      <c r="AJ74" s="16">
        <f t="shared" si="63"/>
        <v>0.80400000000000005</v>
      </c>
      <c r="AK74" s="16">
        <f t="shared" si="64"/>
        <v>3.824854368932038</v>
      </c>
      <c r="AL74" s="17">
        <f t="shared" si="65"/>
        <v>51.912427184466019</v>
      </c>
      <c r="AM74" s="15">
        <f t="shared" si="66"/>
        <v>0.16333333333333333</v>
      </c>
      <c r="AN74" s="16">
        <f t="shared" si="67"/>
        <v>0.83666666666666667</v>
      </c>
      <c r="AO74" s="16">
        <f t="shared" si="68"/>
        <v>3.9802588996763757</v>
      </c>
      <c r="AP74" s="17">
        <f t="shared" si="69"/>
        <v>51.990129449838186</v>
      </c>
    </row>
    <row r="75" spans="1:42">
      <c r="A75" s="73" t="s">
        <v>172</v>
      </c>
      <c r="B75" s="56">
        <f>MAX(B73,B74)</f>
        <v>8.166412581240472</v>
      </c>
      <c r="C75" s="42" t="s">
        <v>4</v>
      </c>
      <c r="E75" s="36" t="s">
        <v>171</v>
      </c>
      <c r="N75">
        <v>14</v>
      </c>
      <c r="O75">
        <f t="shared" si="70"/>
        <v>54.480000000000004</v>
      </c>
      <c r="P75" s="15">
        <f t="shared" si="46"/>
        <v>0.18355359765051393</v>
      </c>
      <c r="Q75" s="16">
        <f t="shared" si="47"/>
        <v>0.81644640234948607</v>
      </c>
      <c r="R75" s="16">
        <f t="shared" si="48"/>
        <v>3.6030291365820215</v>
      </c>
      <c r="S75" s="17">
        <f t="shared" si="49"/>
        <v>51.801514568291012</v>
      </c>
      <c r="T75" s="15">
        <f t="shared" si="50"/>
        <v>0.22026431718061673</v>
      </c>
      <c r="U75" s="16">
        <f t="shared" si="51"/>
        <v>0.77973568281938332</v>
      </c>
      <c r="V75" s="16">
        <f t="shared" si="52"/>
        <v>4.1292269169605467</v>
      </c>
      <c r="W75" s="17">
        <f t="shared" si="53"/>
        <v>52.064613458480274</v>
      </c>
      <c r="X75" s="15">
        <f t="shared" si="54"/>
        <v>0.23861967694566813</v>
      </c>
      <c r="Y75" s="16">
        <f t="shared" si="55"/>
        <v>0.7613803230543319</v>
      </c>
      <c r="Z75" s="16">
        <f t="shared" si="56"/>
        <v>4.3680248012825746</v>
      </c>
      <c r="AA75" s="17">
        <f t="shared" si="57"/>
        <v>52.184012400641286</v>
      </c>
      <c r="AC75">
        <v>14</v>
      </c>
      <c r="AD75">
        <f t="shared" si="71"/>
        <v>10.84</v>
      </c>
      <c r="AE75" s="15">
        <f t="shared" si="58"/>
        <v>0.21679999999999999</v>
      </c>
      <c r="AF75" s="16">
        <f t="shared" si="59"/>
        <v>0.78320000000000001</v>
      </c>
      <c r="AG75" s="16">
        <f t="shared" si="60"/>
        <v>3.7466407766990288</v>
      </c>
      <c r="AH75" s="17">
        <f t="shared" si="61"/>
        <v>51.873320388349512</v>
      </c>
      <c r="AI75" s="15">
        <f t="shared" si="62"/>
        <v>0.19709090909090909</v>
      </c>
      <c r="AJ75" s="16">
        <f t="shared" si="63"/>
        <v>0.80290909090909091</v>
      </c>
      <c r="AK75" s="16">
        <f t="shared" si="64"/>
        <v>3.8409243360346625</v>
      </c>
      <c r="AL75" s="17">
        <f t="shared" si="65"/>
        <v>51.92046216801733</v>
      </c>
      <c r="AM75" s="15">
        <f t="shared" si="66"/>
        <v>0.16424242424242425</v>
      </c>
      <c r="AN75" s="16">
        <f t="shared" si="67"/>
        <v>0.8357575757575757</v>
      </c>
      <c r="AO75" s="16">
        <f t="shared" si="68"/>
        <v>3.9980636015940516</v>
      </c>
      <c r="AP75" s="17">
        <f t="shared" si="69"/>
        <v>51.999031800797027</v>
      </c>
    </row>
    <row r="76" spans="1:42">
      <c r="A76" s="212" t="s">
        <v>245</v>
      </c>
      <c r="B76" s="213">
        <f>Design_Converter!B45</f>
        <v>5</v>
      </c>
      <c r="C76" s="214" t="s">
        <v>26</v>
      </c>
      <c r="N76">
        <v>15</v>
      </c>
      <c r="O76">
        <f t="shared" si="70"/>
        <v>54.8</v>
      </c>
      <c r="P76" s="15">
        <f t="shared" si="46"/>
        <v>0.18248175182481752</v>
      </c>
      <c r="Q76" s="16">
        <f t="shared" si="47"/>
        <v>0.81751824817518248</v>
      </c>
      <c r="R76" s="16">
        <f t="shared" si="48"/>
        <v>3.6077592593785632</v>
      </c>
      <c r="S76" s="17">
        <f t="shared" si="49"/>
        <v>51.803879629689284</v>
      </c>
      <c r="T76" s="15">
        <f t="shared" si="50"/>
        <v>0.21897810218978103</v>
      </c>
      <c r="U76" s="16">
        <f t="shared" si="51"/>
        <v>0.78102189781021902</v>
      </c>
      <c r="V76" s="16">
        <f t="shared" si="52"/>
        <v>4.1360382937875677</v>
      </c>
      <c r="W76" s="17">
        <f t="shared" si="53"/>
        <v>52.068019146893782</v>
      </c>
      <c r="X76" s="15">
        <f t="shared" si="54"/>
        <v>0.23722627737226279</v>
      </c>
      <c r="Y76" s="16">
        <f t="shared" si="55"/>
        <v>0.76277372262773724</v>
      </c>
      <c r="Z76" s="16">
        <f t="shared" si="56"/>
        <v>4.376018708808731</v>
      </c>
      <c r="AA76" s="17">
        <f t="shared" si="57"/>
        <v>52.188009354404365</v>
      </c>
      <c r="AC76">
        <v>15</v>
      </c>
      <c r="AD76">
        <f t="shared" si="71"/>
        <v>10.9</v>
      </c>
      <c r="AE76" s="15">
        <f t="shared" si="58"/>
        <v>0.218</v>
      </c>
      <c r="AF76" s="16">
        <f t="shared" si="59"/>
        <v>0.78200000000000003</v>
      </c>
      <c r="AG76" s="16">
        <f t="shared" si="60"/>
        <v>3.7616063548102381</v>
      </c>
      <c r="AH76" s="17">
        <f t="shared" si="61"/>
        <v>51.88080317740512</v>
      </c>
      <c r="AI76" s="15">
        <f t="shared" si="62"/>
        <v>0.19818181818181818</v>
      </c>
      <c r="AJ76" s="16">
        <f t="shared" si="63"/>
        <v>0.80181818181818176</v>
      </c>
      <c r="AK76" s="16">
        <f t="shared" si="64"/>
        <v>3.8569365321351201</v>
      </c>
      <c r="AL76" s="17">
        <f t="shared" si="65"/>
        <v>51.928468266067561</v>
      </c>
      <c r="AM76" s="15">
        <f t="shared" si="66"/>
        <v>0.16515151515151516</v>
      </c>
      <c r="AN76" s="16">
        <f t="shared" si="67"/>
        <v>0.83484848484848484</v>
      </c>
      <c r="AO76" s="16">
        <f t="shared" si="68"/>
        <v>4.0158201610099233</v>
      </c>
      <c r="AP76" s="17">
        <f t="shared" si="69"/>
        <v>52.007910080504963</v>
      </c>
    </row>
    <row r="77" spans="1:42">
      <c r="A77" s="73" t="s">
        <v>394</v>
      </c>
      <c r="B77" s="52">
        <f>I_Channel_Peak_No_Ilimit*(1+(B76/100))</f>
        <v>8.5747332103024956</v>
      </c>
      <c r="C77" s="42" t="s">
        <v>4</v>
      </c>
      <c r="E77" s="36" t="s">
        <v>395</v>
      </c>
      <c r="N77">
        <v>16</v>
      </c>
      <c r="O77">
        <f t="shared" si="70"/>
        <v>55.12</v>
      </c>
      <c r="P77" s="15">
        <f t="shared" si="46"/>
        <v>0.18142235123367201</v>
      </c>
      <c r="Q77" s="16">
        <f t="shared" si="47"/>
        <v>0.81857764876632799</v>
      </c>
      <c r="R77" s="16">
        <f t="shared" si="48"/>
        <v>3.6124344605751459</v>
      </c>
      <c r="S77" s="17">
        <f t="shared" si="49"/>
        <v>51.806217230287572</v>
      </c>
      <c r="T77" s="15">
        <f t="shared" si="50"/>
        <v>0.2177068214804064</v>
      </c>
      <c r="U77" s="16">
        <f t="shared" si="51"/>
        <v>0.78229317851959357</v>
      </c>
      <c r="V77" s="16">
        <f t="shared" si="52"/>
        <v>4.1427705835106456</v>
      </c>
      <c r="W77" s="17">
        <f t="shared" si="53"/>
        <v>52.07138529175532</v>
      </c>
      <c r="X77" s="15">
        <f t="shared" si="54"/>
        <v>0.23584905660377359</v>
      </c>
      <c r="Y77" s="16">
        <f t="shared" si="55"/>
        <v>0.76415094339622636</v>
      </c>
      <c r="Z77" s="16">
        <f t="shared" si="56"/>
        <v>4.383919798830954</v>
      </c>
      <c r="AA77" s="17">
        <f t="shared" si="57"/>
        <v>52.19195989941548</v>
      </c>
      <c r="AC77">
        <v>16</v>
      </c>
      <c r="AD77">
        <f t="shared" si="71"/>
        <v>10.96</v>
      </c>
      <c r="AE77" s="15">
        <f t="shared" si="58"/>
        <v>0.21920000000000001</v>
      </c>
      <c r="AF77" s="16">
        <f t="shared" si="59"/>
        <v>0.78079999999999994</v>
      </c>
      <c r="AG77" s="16">
        <f t="shared" si="60"/>
        <v>3.7765083848190644</v>
      </c>
      <c r="AH77" s="17">
        <f t="shared" si="61"/>
        <v>51.888254192409534</v>
      </c>
      <c r="AI77" s="15">
        <f t="shared" si="62"/>
        <v>0.1992727272727273</v>
      </c>
      <c r="AJ77" s="16">
        <f t="shared" si="63"/>
        <v>0.80072727272727273</v>
      </c>
      <c r="AK77" s="16">
        <f t="shared" si="64"/>
        <v>3.8728909572334111</v>
      </c>
      <c r="AL77" s="17">
        <f t="shared" si="65"/>
        <v>51.936445478616704</v>
      </c>
      <c r="AM77" s="15">
        <f t="shared" si="66"/>
        <v>0.16606060606060608</v>
      </c>
      <c r="AN77" s="16">
        <f t="shared" si="67"/>
        <v>0.83393939393939398</v>
      </c>
      <c r="AO77" s="16">
        <f t="shared" si="68"/>
        <v>4.0335285779239882</v>
      </c>
      <c r="AP77" s="17">
        <f t="shared" si="69"/>
        <v>52.016764288961994</v>
      </c>
    </row>
    <row r="78" spans="1:42">
      <c r="A78" s="73" t="s">
        <v>173</v>
      </c>
      <c r="B78" s="213">
        <f>Design_Converter!B47</f>
        <v>44</v>
      </c>
      <c r="C78" s="42" t="s">
        <v>4</v>
      </c>
      <c r="E78" s="36" t="s">
        <v>396</v>
      </c>
      <c r="N78">
        <v>17</v>
      </c>
      <c r="O78">
        <f t="shared" si="70"/>
        <v>55.44</v>
      </c>
      <c r="P78" s="15">
        <f t="shared" si="46"/>
        <v>0.18037518037518038</v>
      </c>
      <c r="Q78" s="16">
        <f t="shared" si="47"/>
        <v>0.81962481962481959</v>
      </c>
      <c r="R78" s="16">
        <f t="shared" si="48"/>
        <v>3.6170556911951439</v>
      </c>
      <c r="S78" s="17">
        <f t="shared" si="49"/>
        <v>51.808527845597574</v>
      </c>
      <c r="T78" s="15">
        <f t="shared" si="50"/>
        <v>0.21645021645021645</v>
      </c>
      <c r="U78" s="16">
        <f t="shared" si="51"/>
        <v>0.78354978354978355</v>
      </c>
      <c r="V78" s="16">
        <f t="shared" si="52"/>
        <v>4.1494251556034429</v>
      </c>
      <c r="W78" s="17">
        <f t="shared" si="53"/>
        <v>52.074712577801719</v>
      </c>
      <c r="X78" s="15">
        <f t="shared" si="54"/>
        <v>0.23448773448773449</v>
      </c>
      <c r="Y78" s="16">
        <f t="shared" si="55"/>
        <v>0.76551226551226548</v>
      </c>
      <c r="Z78" s="16">
        <f t="shared" si="56"/>
        <v>4.3917296785787512</v>
      </c>
      <c r="AA78" s="17">
        <f t="shared" si="57"/>
        <v>52.195864839289378</v>
      </c>
      <c r="AC78">
        <v>17</v>
      </c>
      <c r="AD78">
        <f t="shared" si="71"/>
        <v>11.02</v>
      </c>
      <c r="AE78" s="15">
        <f t="shared" si="58"/>
        <v>0.22039999999999998</v>
      </c>
      <c r="AF78" s="16">
        <f t="shared" si="59"/>
        <v>0.77960000000000007</v>
      </c>
      <c r="AG78" s="16">
        <f t="shared" si="60"/>
        <v>3.7913468667255077</v>
      </c>
      <c r="AH78" s="17">
        <f t="shared" si="61"/>
        <v>51.895673433362752</v>
      </c>
      <c r="AI78" s="15">
        <f t="shared" si="62"/>
        <v>0.20036363636363635</v>
      </c>
      <c r="AJ78" s="16">
        <f t="shared" si="63"/>
        <v>0.7996363636363637</v>
      </c>
      <c r="AK78" s="16">
        <f t="shared" si="64"/>
        <v>3.8887876113295357</v>
      </c>
      <c r="AL78" s="17">
        <f t="shared" si="65"/>
        <v>51.944393805664767</v>
      </c>
      <c r="AM78" s="15">
        <f t="shared" si="66"/>
        <v>0.16696969696969696</v>
      </c>
      <c r="AN78" s="16">
        <f t="shared" si="67"/>
        <v>0.83303030303030301</v>
      </c>
      <c r="AO78" s="16">
        <f t="shared" si="68"/>
        <v>4.0511888523362485</v>
      </c>
      <c r="AP78" s="17">
        <f t="shared" si="69"/>
        <v>52.025594426168126</v>
      </c>
    </row>
    <row r="79" spans="1:42">
      <c r="A79" s="73" t="s">
        <v>452</v>
      </c>
      <c r="B79" s="52">
        <f>20*B31/1000*B78</f>
        <v>0.88</v>
      </c>
      <c r="C79" s="42" t="s">
        <v>1</v>
      </c>
      <c r="N79">
        <v>18</v>
      </c>
      <c r="O79">
        <f t="shared" si="70"/>
        <v>55.76</v>
      </c>
      <c r="P79" s="15">
        <f t="shared" si="46"/>
        <v>0.1793400286944046</v>
      </c>
      <c r="Q79" s="16">
        <f t="shared" si="47"/>
        <v>0.82065997130559543</v>
      </c>
      <c r="R79" s="16">
        <f t="shared" si="48"/>
        <v>3.6216238804306946</v>
      </c>
      <c r="S79" s="17">
        <f t="shared" si="49"/>
        <v>51.810811940215345</v>
      </c>
      <c r="T79" s="15">
        <f t="shared" si="50"/>
        <v>0.21520803443328551</v>
      </c>
      <c r="U79" s="16">
        <f t="shared" si="51"/>
        <v>0.78479196556671449</v>
      </c>
      <c r="V79" s="16">
        <f t="shared" si="52"/>
        <v>4.1560033481026357</v>
      </c>
      <c r="W79" s="17">
        <f t="shared" si="53"/>
        <v>52.078001674051315</v>
      </c>
      <c r="X79" s="15">
        <f t="shared" si="54"/>
        <v>0.23314203730272598</v>
      </c>
      <c r="Y79" s="16">
        <f t="shared" si="55"/>
        <v>0.76685796269727402</v>
      </c>
      <c r="Z79" s="16">
        <f t="shared" si="56"/>
        <v>4.399449918386833</v>
      </c>
      <c r="AA79" s="17">
        <f t="shared" si="57"/>
        <v>52.199724959193418</v>
      </c>
      <c r="AC79">
        <v>18</v>
      </c>
      <c r="AD79">
        <f t="shared" si="71"/>
        <v>11.08</v>
      </c>
      <c r="AE79" s="15">
        <f t="shared" si="58"/>
        <v>0.22159999999999999</v>
      </c>
      <c r="AF79" s="16">
        <f t="shared" si="59"/>
        <v>0.77839999999999998</v>
      </c>
      <c r="AG79" s="16">
        <f t="shared" si="60"/>
        <v>3.8061218005295672</v>
      </c>
      <c r="AH79" s="17">
        <f t="shared" si="61"/>
        <v>51.903060900264784</v>
      </c>
      <c r="AI79" s="15">
        <f t="shared" si="62"/>
        <v>0.20145454545454547</v>
      </c>
      <c r="AJ79" s="16">
        <f t="shared" si="63"/>
        <v>0.79854545454545456</v>
      </c>
      <c r="AK79" s="16">
        <f t="shared" si="64"/>
        <v>3.9046264944234936</v>
      </c>
      <c r="AL79" s="17">
        <f t="shared" si="65"/>
        <v>51.952313247211748</v>
      </c>
      <c r="AM79" s="15">
        <f t="shared" si="66"/>
        <v>0.16787878787878788</v>
      </c>
      <c r="AN79" s="16">
        <f t="shared" si="67"/>
        <v>0.83212121212121215</v>
      </c>
      <c r="AO79" s="16">
        <f t="shared" si="68"/>
        <v>4.0688009842467041</v>
      </c>
      <c r="AP79" s="17">
        <f t="shared" si="69"/>
        <v>52.034400492123353</v>
      </c>
    </row>
    <row r="80" spans="1:42">
      <c r="A80" s="6" t="s">
        <v>453</v>
      </c>
      <c r="B80" s="47">
        <f>Design_Converter!B49</f>
        <v>3.5</v>
      </c>
      <c r="C80" s="7" t="s">
        <v>1</v>
      </c>
      <c r="D80"/>
      <c r="E80"/>
      <c r="N80">
        <v>19</v>
      </c>
      <c r="O80">
        <f t="shared" si="70"/>
        <v>56.08</v>
      </c>
      <c r="P80" s="15">
        <f t="shared" si="46"/>
        <v>0.1783166904422254</v>
      </c>
      <c r="Q80" s="16">
        <f t="shared" si="47"/>
        <v>0.82168330955777458</v>
      </c>
      <c r="R80" s="16">
        <f t="shared" si="48"/>
        <v>3.6261399362655546</v>
      </c>
      <c r="S80" s="17">
        <f t="shared" si="49"/>
        <v>51.81306996813278</v>
      </c>
      <c r="T80" s="15">
        <f t="shared" si="50"/>
        <v>0.21398002853067047</v>
      </c>
      <c r="U80" s="16">
        <f t="shared" si="51"/>
        <v>0.78601997146932956</v>
      </c>
      <c r="V80" s="16">
        <f t="shared" si="52"/>
        <v>4.1625064685048336</v>
      </c>
      <c r="W80" s="17">
        <f t="shared" si="53"/>
        <v>52.081253234252415</v>
      </c>
      <c r="X80" s="15">
        <f t="shared" si="54"/>
        <v>0.23181169757489301</v>
      </c>
      <c r="Y80" s="16">
        <f t="shared" si="55"/>
        <v>0.76818830242510705</v>
      </c>
      <c r="Z80" s="16">
        <f t="shared" si="56"/>
        <v>4.4070820527477448</v>
      </c>
      <c r="AA80" s="17">
        <f t="shared" si="57"/>
        <v>52.20354102637387</v>
      </c>
      <c r="AC80">
        <v>19</v>
      </c>
      <c r="AD80">
        <f t="shared" si="71"/>
        <v>11.14</v>
      </c>
      <c r="AE80" s="15">
        <f t="shared" si="58"/>
        <v>0.2228</v>
      </c>
      <c r="AF80" s="16">
        <f t="shared" si="59"/>
        <v>0.7772</v>
      </c>
      <c r="AG80" s="16">
        <f t="shared" si="60"/>
        <v>3.8208331862312441</v>
      </c>
      <c r="AH80" s="17">
        <f t="shared" si="61"/>
        <v>51.91041659311562</v>
      </c>
      <c r="AI80" s="15">
        <f t="shared" si="62"/>
        <v>0.20254545454545456</v>
      </c>
      <c r="AJ80" s="16">
        <f t="shared" si="63"/>
        <v>0.79745454545454542</v>
      </c>
      <c r="AK80" s="16">
        <f t="shared" si="64"/>
        <v>3.9204076065152855</v>
      </c>
      <c r="AL80" s="17">
        <f t="shared" si="65"/>
        <v>51.960203803257642</v>
      </c>
      <c r="AM80" s="15">
        <f t="shared" si="66"/>
        <v>0.16878787878787879</v>
      </c>
      <c r="AN80" s="16">
        <f t="shared" si="67"/>
        <v>0.83121212121212118</v>
      </c>
      <c r="AO80" s="16">
        <f t="shared" si="68"/>
        <v>4.0863649736553533</v>
      </c>
      <c r="AP80" s="17">
        <f t="shared" si="69"/>
        <v>52.043182486827675</v>
      </c>
    </row>
    <row r="81" spans="1:42">
      <c r="A81" s="6" t="s">
        <v>454</v>
      </c>
      <c r="B81" s="55">
        <f>B79/0.1</f>
        <v>8.7999999999999989</v>
      </c>
      <c r="C81" s="215" t="s">
        <v>95</v>
      </c>
      <c r="N81">
        <v>20</v>
      </c>
      <c r="O81">
        <f t="shared" si="70"/>
        <v>56.4</v>
      </c>
      <c r="P81" s="15">
        <f t="shared" si="46"/>
        <v>0.1773049645390071</v>
      </c>
      <c r="Q81" s="16">
        <f t="shared" si="47"/>
        <v>0.82269503546099287</v>
      </c>
      <c r="R81" s="16">
        <f t="shared" si="48"/>
        <v>3.6306047460767559</v>
      </c>
      <c r="S81" s="17">
        <f t="shared" si="49"/>
        <v>51.815302373038378</v>
      </c>
      <c r="T81" s="15">
        <f t="shared" si="50"/>
        <v>0.21276595744680851</v>
      </c>
      <c r="U81" s="16">
        <f t="shared" si="51"/>
        <v>0.78723404255319152</v>
      </c>
      <c r="V81" s="16">
        <f t="shared" si="52"/>
        <v>4.168935794632965</v>
      </c>
      <c r="W81" s="17">
        <f t="shared" si="53"/>
        <v>52.084467897316486</v>
      </c>
      <c r="X81" s="15">
        <f t="shared" si="54"/>
        <v>0.23049645390070922</v>
      </c>
      <c r="Y81" s="16">
        <f t="shared" si="55"/>
        <v>0.76950354609929073</v>
      </c>
      <c r="Z81" s="16">
        <f t="shared" si="56"/>
        <v>4.4146275813286762</v>
      </c>
      <c r="AA81" s="17">
        <f t="shared" si="57"/>
        <v>52.207313790664337</v>
      </c>
      <c r="AC81">
        <v>20</v>
      </c>
      <c r="AD81">
        <f t="shared" si="71"/>
        <v>11.2</v>
      </c>
      <c r="AE81" s="15">
        <f t="shared" si="58"/>
        <v>0.22399999999999998</v>
      </c>
      <c r="AF81" s="16">
        <f t="shared" si="59"/>
        <v>0.77600000000000002</v>
      </c>
      <c r="AG81" s="16">
        <f t="shared" si="60"/>
        <v>3.8354810238305377</v>
      </c>
      <c r="AH81" s="17">
        <f t="shared" si="61"/>
        <v>51.91774051191527</v>
      </c>
      <c r="AI81" s="15">
        <f t="shared" si="62"/>
        <v>0.20363636363636362</v>
      </c>
      <c r="AJ81" s="16">
        <f t="shared" si="63"/>
        <v>0.79636363636363638</v>
      </c>
      <c r="AK81" s="16">
        <f t="shared" si="64"/>
        <v>3.93613094760491</v>
      </c>
      <c r="AL81" s="17">
        <f t="shared" si="65"/>
        <v>51.968065473802454</v>
      </c>
      <c r="AM81" s="15">
        <f t="shared" si="66"/>
        <v>0.16969696969696968</v>
      </c>
      <c r="AN81" s="16">
        <f t="shared" si="67"/>
        <v>0.83030303030303032</v>
      </c>
      <c r="AO81" s="16">
        <f t="shared" si="68"/>
        <v>4.1038808205621971</v>
      </c>
      <c r="AP81" s="17">
        <f t="shared" si="69"/>
        <v>52.051940410281098</v>
      </c>
    </row>
    <row r="82" spans="1:42">
      <c r="A82" s="6" t="s">
        <v>456</v>
      </c>
      <c r="B82" s="47">
        <f>Design_Converter!B51</f>
        <v>2.2000000000000002</v>
      </c>
      <c r="C82" s="215" t="s">
        <v>95</v>
      </c>
      <c r="D82"/>
      <c r="N82">
        <v>21</v>
      </c>
      <c r="O82">
        <f t="shared" si="70"/>
        <v>56.72</v>
      </c>
      <c r="P82" s="15">
        <f t="shared" si="46"/>
        <v>0.1763046544428773</v>
      </c>
      <c r="Q82" s="16">
        <f t="shared" si="47"/>
        <v>0.82369534555712276</v>
      </c>
      <c r="R82" s="16">
        <f t="shared" si="48"/>
        <v>3.6350191772158986</v>
      </c>
      <c r="S82" s="17">
        <f t="shared" si="49"/>
        <v>51.817509588607948</v>
      </c>
      <c r="T82" s="15">
        <f t="shared" si="50"/>
        <v>0.21156558533145275</v>
      </c>
      <c r="U82" s="16">
        <f t="shared" si="51"/>
        <v>0.78843441466854725</v>
      </c>
      <c r="V82" s="16">
        <f t="shared" si="52"/>
        <v>4.175292575473331</v>
      </c>
      <c r="W82" s="17">
        <f t="shared" si="53"/>
        <v>52.087646287736668</v>
      </c>
      <c r="X82" s="15">
        <f t="shared" si="54"/>
        <v>0.22919605077574048</v>
      </c>
      <c r="Y82" s="16">
        <f t="shared" si="55"/>
        <v>0.77080394922425954</v>
      </c>
      <c r="Z82" s="16">
        <f t="shared" si="56"/>
        <v>4.4220879699538278</v>
      </c>
      <c r="AA82" s="17">
        <f t="shared" si="57"/>
        <v>52.211043984976911</v>
      </c>
      <c r="AC82">
        <v>21</v>
      </c>
      <c r="AD82">
        <f t="shared" si="71"/>
        <v>11.26</v>
      </c>
      <c r="AE82" s="15">
        <f t="shared" si="58"/>
        <v>0.22519999999999998</v>
      </c>
      <c r="AF82" s="16">
        <f t="shared" si="59"/>
        <v>0.77480000000000004</v>
      </c>
      <c r="AG82" s="16">
        <f t="shared" si="60"/>
        <v>3.8500653133274496</v>
      </c>
      <c r="AH82" s="17">
        <f t="shared" si="61"/>
        <v>51.925032656663724</v>
      </c>
      <c r="AI82" s="15">
        <f t="shared" si="62"/>
        <v>0.20472727272727273</v>
      </c>
      <c r="AJ82" s="16">
        <f t="shared" si="63"/>
        <v>0.79527272727272724</v>
      </c>
      <c r="AK82" s="16">
        <f t="shared" si="64"/>
        <v>3.9517965176923693</v>
      </c>
      <c r="AL82" s="17">
        <f t="shared" si="65"/>
        <v>51.975898258846186</v>
      </c>
      <c r="AM82" s="15">
        <f t="shared" si="66"/>
        <v>0.17060606060606059</v>
      </c>
      <c r="AN82" s="16">
        <f t="shared" si="67"/>
        <v>0.82939393939393935</v>
      </c>
      <c r="AO82" s="16">
        <f t="shared" si="68"/>
        <v>4.1213485249672361</v>
      </c>
      <c r="AP82" s="17">
        <f t="shared" si="69"/>
        <v>52.060674262483616</v>
      </c>
    </row>
    <row r="83" spans="1:42">
      <c r="A83" s="6" t="s">
        <v>455</v>
      </c>
      <c r="B83" s="55">
        <f>(B80-B79)/B79*B82</f>
        <v>6.5500000000000007</v>
      </c>
      <c r="C83" s="215" t="s">
        <v>95</v>
      </c>
      <c r="D83"/>
      <c r="N83">
        <v>22</v>
      </c>
      <c r="O83">
        <f t="shared" si="70"/>
        <v>57.04</v>
      </c>
      <c r="P83" s="15">
        <f t="shared" si="46"/>
        <v>0.17531556802244039</v>
      </c>
      <c r="Q83" s="16">
        <f t="shared" si="47"/>
        <v>0.82468443197755958</v>
      </c>
      <c r="R83" s="16">
        <f t="shared" si="48"/>
        <v>3.6393840775708717</v>
      </c>
      <c r="S83" s="17">
        <f t="shared" si="49"/>
        <v>51.819692038785433</v>
      </c>
      <c r="T83" s="15">
        <f t="shared" si="50"/>
        <v>0.21037868162692847</v>
      </c>
      <c r="U83" s="16">
        <f t="shared" si="51"/>
        <v>0.78962131837307159</v>
      </c>
      <c r="V83" s="16">
        <f t="shared" si="52"/>
        <v>4.1815780319844915</v>
      </c>
      <c r="W83" s="17">
        <f t="shared" si="53"/>
        <v>52.090789015992243</v>
      </c>
      <c r="X83" s="15">
        <f t="shared" si="54"/>
        <v>0.22791023842917252</v>
      </c>
      <c r="Y83" s="16">
        <f t="shared" si="55"/>
        <v>0.77208976157082754</v>
      </c>
      <c r="Z83" s="16">
        <f t="shared" si="56"/>
        <v>4.4294646515537321</v>
      </c>
      <c r="AA83" s="17">
        <f t="shared" si="57"/>
        <v>52.214732325776865</v>
      </c>
      <c r="AC83">
        <v>22</v>
      </c>
      <c r="AD83">
        <f t="shared" si="71"/>
        <v>11.32</v>
      </c>
      <c r="AE83" s="15">
        <f t="shared" si="58"/>
        <v>0.22640000000000002</v>
      </c>
      <c r="AF83" s="16">
        <f t="shared" si="59"/>
        <v>0.77359999999999995</v>
      </c>
      <c r="AG83" s="16">
        <f t="shared" si="60"/>
        <v>3.8645860547219772</v>
      </c>
      <c r="AH83" s="17">
        <f t="shared" si="61"/>
        <v>51.932293027360991</v>
      </c>
      <c r="AI83" s="15">
        <f t="shared" si="62"/>
        <v>0.20581818181818182</v>
      </c>
      <c r="AJ83" s="16">
        <f t="shared" si="63"/>
        <v>0.79418181818181821</v>
      </c>
      <c r="AK83" s="16">
        <f t="shared" si="64"/>
        <v>3.967404316777662</v>
      </c>
      <c r="AL83" s="17">
        <f t="shared" si="65"/>
        <v>51.98370215838883</v>
      </c>
      <c r="AM83" s="15">
        <f t="shared" si="66"/>
        <v>0.17151515151515151</v>
      </c>
      <c r="AN83" s="16">
        <f t="shared" si="67"/>
        <v>0.82848484848484849</v>
      </c>
      <c r="AO83" s="16">
        <f t="shared" si="68"/>
        <v>4.1387680868704697</v>
      </c>
      <c r="AP83" s="17">
        <f t="shared" si="69"/>
        <v>52.069384043435235</v>
      </c>
    </row>
    <row r="84" spans="1:42">
      <c r="A84" s="6" t="s">
        <v>457</v>
      </c>
      <c r="B84" s="47">
        <f>Design_Converter!B53</f>
        <v>8</v>
      </c>
      <c r="C84" s="215" t="s">
        <v>95</v>
      </c>
      <c r="D84"/>
      <c r="N84">
        <v>23</v>
      </c>
      <c r="O84">
        <f t="shared" si="70"/>
        <v>57.36</v>
      </c>
      <c r="P84" s="15">
        <f t="shared" si="46"/>
        <v>0.17433751743375175</v>
      </c>
      <c r="Q84" s="16">
        <f t="shared" si="47"/>
        <v>0.82566248256624819</v>
      </c>
      <c r="R84" s="16">
        <f t="shared" si="48"/>
        <v>3.6437002761087744</v>
      </c>
      <c r="S84" s="17">
        <f t="shared" si="49"/>
        <v>51.821850138054387</v>
      </c>
      <c r="T84" s="15">
        <f t="shared" si="50"/>
        <v>0.20920502092050208</v>
      </c>
      <c r="U84" s="16">
        <f t="shared" si="51"/>
        <v>0.79079497907949792</v>
      </c>
      <c r="V84" s="16">
        <f t="shared" si="52"/>
        <v>4.1877933578790705</v>
      </c>
      <c r="W84" s="17">
        <f t="shared" si="53"/>
        <v>52.093896678939537</v>
      </c>
      <c r="X84" s="15">
        <f t="shared" si="54"/>
        <v>0.22663877266387727</v>
      </c>
      <c r="Y84" s="16">
        <f t="shared" si="55"/>
        <v>0.77336122733612278</v>
      </c>
      <c r="Z84" s="16">
        <f t="shared" si="56"/>
        <v>4.436759027082787</v>
      </c>
      <c r="AA84" s="17">
        <f t="shared" si="57"/>
        <v>52.218379513541393</v>
      </c>
      <c r="AC84">
        <v>23</v>
      </c>
      <c r="AD84">
        <f t="shared" si="71"/>
        <v>11.379999999999999</v>
      </c>
      <c r="AE84" s="15">
        <f t="shared" si="58"/>
        <v>0.22759999999999997</v>
      </c>
      <c r="AF84" s="16">
        <f t="shared" si="59"/>
        <v>0.77239999999999998</v>
      </c>
      <c r="AG84" s="16">
        <f t="shared" si="60"/>
        <v>3.8790432480141219</v>
      </c>
      <c r="AH84" s="17">
        <f t="shared" si="61"/>
        <v>51.939521624007064</v>
      </c>
      <c r="AI84" s="15">
        <f t="shared" si="62"/>
        <v>0.2069090909090909</v>
      </c>
      <c r="AJ84" s="16">
        <f t="shared" si="63"/>
        <v>0.79309090909090907</v>
      </c>
      <c r="AK84" s="16">
        <f t="shared" si="64"/>
        <v>3.9829543448607883</v>
      </c>
      <c r="AL84" s="17">
        <f t="shared" si="65"/>
        <v>51.991477172430393</v>
      </c>
      <c r="AM84" s="15">
        <f t="shared" si="66"/>
        <v>0.1724242424242424</v>
      </c>
      <c r="AN84" s="16">
        <f t="shared" si="67"/>
        <v>0.82757575757575763</v>
      </c>
      <c r="AO84" s="16">
        <f t="shared" si="68"/>
        <v>4.1561395062718978</v>
      </c>
      <c r="AP84" s="17">
        <f t="shared" si="69"/>
        <v>52.078069753135949</v>
      </c>
    </row>
    <row r="85" spans="1:42">
      <c r="A85" s="6" t="s">
        <v>458</v>
      </c>
      <c r="B85" s="55">
        <f>B80*B82/(B82+B84)</f>
        <v>0.75490196078431393</v>
      </c>
      <c r="C85" s="215" t="s">
        <v>1</v>
      </c>
      <c r="D85"/>
      <c r="E85" s="45"/>
      <c r="N85">
        <v>24</v>
      </c>
      <c r="O85">
        <f t="shared" si="70"/>
        <v>57.68</v>
      </c>
      <c r="P85" s="15">
        <f t="shared" si="46"/>
        <v>0.17337031900138697</v>
      </c>
      <c r="Q85" s="16">
        <f t="shared" si="47"/>
        <v>0.826629680998613</v>
      </c>
      <c r="R85" s="16">
        <f t="shared" si="48"/>
        <v>3.6479685834007638</v>
      </c>
      <c r="S85" s="17">
        <f t="shared" si="49"/>
        <v>51.823984291700384</v>
      </c>
      <c r="T85" s="15">
        <f t="shared" si="50"/>
        <v>0.20804438280166435</v>
      </c>
      <c r="U85" s="16">
        <f t="shared" si="51"/>
        <v>0.79195561719833563</v>
      </c>
      <c r="V85" s="16">
        <f t="shared" si="52"/>
        <v>4.193939720379535</v>
      </c>
      <c r="W85" s="17">
        <f t="shared" si="53"/>
        <v>52.096969860189766</v>
      </c>
      <c r="X85" s="15">
        <f t="shared" si="54"/>
        <v>0.22538141470180306</v>
      </c>
      <c r="Y85" s="16">
        <f t="shared" si="55"/>
        <v>0.77461858529819694</v>
      </c>
      <c r="Z85" s="16">
        <f t="shared" si="56"/>
        <v>4.4439724664062492</v>
      </c>
      <c r="AA85" s="17">
        <f t="shared" si="57"/>
        <v>52.221986233203125</v>
      </c>
      <c r="AC85">
        <v>24</v>
      </c>
      <c r="AD85">
        <f t="shared" si="71"/>
        <v>11.44</v>
      </c>
      <c r="AE85" s="15">
        <f t="shared" si="58"/>
        <v>0.2288</v>
      </c>
      <c r="AF85" s="16">
        <f t="shared" si="59"/>
        <v>0.7712</v>
      </c>
      <c r="AG85" s="16">
        <f t="shared" si="60"/>
        <v>3.8934368932038836</v>
      </c>
      <c r="AH85" s="17">
        <f t="shared" si="61"/>
        <v>51.946718446601942</v>
      </c>
      <c r="AI85" s="15">
        <f t="shared" si="62"/>
        <v>0.20799999999999999</v>
      </c>
      <c r="AJ85" s="16">
        <f t="shared" si="63"/>
        <v>0.79200000000000004</v>
      </c>
      <c r="AK85" s="16">
        <f t="shared" si="64"/>
        <v>3.9984466019417475</v>
      </c>
      <c r="AL85" s="17">
        <f t="shared" si="65"/>
        <v>51.999223300970876</v>
      </c>
      <c r="AM85" s="15">
        <f t="shared" si="66"/>
        <v>0.17333333333333334</v>
      </c>
      <c r="AN85" s="16">
        <f t="shared" si="67"/>
        <v>0.82666666666666666</v>
      </c>
      <c r="AO85" s="16">
        <f t="shared" si="68"/>
        <v>4.1734627831715212</v>
      </c>
      <c r="AP85" s="17">
        <f t="shared" si="69"/>
        <v>52.086731391585758</v>
      </c>
    </row>
    <row r="86" spans="1:42" ht="15.75" thickBot="1">
      <c r="A86" s="216" t="s">
        <v>459</v>
      </c>
      <c r="B86" s="217">
        <f>1000/20/B31*B85</f>
        <v>37.745098039215698</v>
      </c>
      <c r="C86" s="218" t="s">
        <v>4</v>
      </c>
      <c r="D86"/>
      <c r="N86">
        <v>25</v>
      </c>
      <c r="O86">
        <f t="shared" si="70"/>
        <v>58</v>
      </c>
      <c r="P86" s="15">
        <f t="shared" si="46"/>
        <v>0.17241379310344829</v>
      </c>
      <c r="Q86" s="16">
        <f t="shared" si="47"/>
        <v>0.82758620689655171</v>
      </c>
      <c r="R86" s="16">
        <f t="shared" si="48"/>
        <v>3.6521897921295312</v>
      </c>
      <c r="S86" s="17">
        <f t="shared" si="49"/>
        <v>51.826094896064767</v>
      </c>
      <c r="T86" s="15">
        <f t="shared" si="50"/>
        <v>0.20689655172413793</v>
      </c>
      <c r="U86" s="16">
        <f t="shared" si="51"/>
        <v>0.7931034482758621</v>
      </c>
      <c r="V86" s="16">
        <f t="shared" si="52"/>
        <v>4.2000182609489602</v>
      </c>
      <c r="W86" s="17">
        <f t="shared" si="53"/>
        <v>52.100009130474483</v>
      </c>
      <c r="X86" s="15">
        <f t="shared" si="54"/>
        <v>0.22413793103448276</v>
      </c>
      <c r="Y86" s="16">
        <f t="shared" si="55"/>
        <v>0.77586206896551724</v>
      </c>
      <c r="Z86" s="16">
        <f t="shared" si="56"/>
        <v>4.4511063091578658</v>
      </c>
      <c r="AA86" s="17">
        <f t="shared" si="57"/>
        <v>52.225553154578932</v>
      </c>
      <c r="AC86">
        <v>25</v>
      </c>
      <c r="AD86">
        <f t="shared" si="71"/>
        <v>11.5</v>
      </c>
      <c r="AE86" s="15">
        <f t="shared" si="58"/>
        <v>0.23</v>
      </c>
      <c r="AF86" s="16">
        <f t="shared" si="59"/>
        <v>0.77</v>
      </c>
      <c r="AG86" s="16">
        <f t="shared" si="60"/>
        <v>3.9077669902912624</v>
      </c>
      <c r="AH86" s="17">
        <f t="shared" si="61"/>
        <v>51.953883495145632</v>
      </c>
      <c r="AI86" s="15">
        <f t="shared" si="62"/>
        <v>0.20909090909090908</v>
      </c>
      <c r="AJ86" s="16">
        <f t="shared" si="63"/>
        <v>0.79090909090909089</v>
      </c>
      <c r="AK86" s="16">
        <f t="shared" si="64"/>
        <v>4.0138810880205407</v>
      </c>
      <c r="AL86" s="17">
        <f t="shared" si="65"/>
        <v>52.00694054401027</v>
      </c>
      <c r="AM86" s="15">
        <f t="shared" si="66"/>
        <v>0.17424242424242425</v>
      </c>
      <c r="AN86" s="16">
        <f t="shared" si="67"/>
        <v>0.82575757575757569</v>
      </c>
      <c r="AO86" s="16">
        <f t="shared" si="68"/>
        <v>4.1907379175693391</v>
      </c>
      <c r="AP86" s="17">
        <f t="shared" si="69"/>
        <v>52.095368958784668</v>
      </c>
    </row>
    <row r="87" spans="1:42" ht="15.75" thickBot="1">
      <c r="A87" s="220"/>
      <c r="B87" s="36"/>
      <c r="C87" s="202"/>
      <c r="D87"/>
      <c r="N87">
        <v>26</v>
      </c>
      <c r="O87">
        <f t="shared" si="70"/>
        <v>58.32</v>
      </c>
      <c r="P87" s="15">
        <f t="shared" si="46"/>
        <v>0.17146776406035666</v>
      </c>
      <c r="Q87" s="16">
        <f t="shared" si="47"/>
        <v>0.82853223593964331</v>
      </c>
      <c r="R87" s="16">
        <f t="shared" si="48"/>
        <v>3.656364677580068</v>
      </c>
      <c r="S87" s="17">
        <f t="shared" si="49"/>
        <v>51.828182338790036</v>
      </c>
      <c r="T87" s="15">
        <f t="shared" si="50"/>
        <v>0.20576131687242799</v>
      </c>
      <c r="U87" s="16">
        <f t="shared" si="51"/>
        <v>0.79423868312757206</v>
      </c>
      <c r="V87" s="16">
        <f t="shared" si="52"/>
        <v>4.2060300959977335</v>
      </c>
      <c r="W87" s="17">
        <f t="shared" si="53"/>
        <v>52.103015047998866</v>
      </c>
      <c r="X87" s="15">
        <f t="shared" si="54"/>
        <v>0.22290809327846364</v>
      </c>
      <c r="Y87" s="16">
        <f t="shared" si="55"/>
        <v>0.77709190672153639</v>
      </c>
      <c r="Z87" s="16">
        <f t="shared" si="56"/>
        <v>4.4581618655692727</v>
      </c>
      <c r="AA87" s="17">
        <f t="shared" si="57"/>
        <v>52.229080932784633</v>
      </c>
      <c r="AC87">
        <v>26</v>
      </c>
      <c r="AD87">
        <f t="shared" si="71"/>
        <v>11.56</v>
      </c>
      <c r="AE87" s="15">
        <f t="shared" si="58"/>
        <v>0.23120000000000002</v>
      </c>
      <c r="AF87" s="16">
        <f t="shared" si="59"/>
        <v>0.76879999999999993</v>
      </c>
      <c r="AG87" s="16">
        <f t="shared" si="60"/>
        <v>3.9220335392762578</v>
      </c>
      <c r="AH87" s="17">
        <f t="shared" si="61"/>
        <v>51.961016769638128</v>
      </c>
      <c r="AI87" s="15">
        <f t="shared" si="62"/>
        <v>0.21018181818181819</v>
      </c>
      <c r="AJ87" s="16">
        <f t="shared" si="63"/>
        <v>0.78981818181818175</v>
      </c>
      <c r="AK87" s="16">
        <f t="shared" si="64"/>
        <v>4.0292578030971677</v>
      </c>
      <c r="AL87" s="17">
        <f t="shared" si="65"/>
        <v>52.014628901548583</v>
      </c>
      <c r="AM87" s="15">
        <f t="shared" si="66"/>
        <v>0.17515151515151517</v>
      </c>
      <c r="AN87" s="16">
        <f t="shared" si="67"/>
        <v>0.82484848484848483</v>
      </c>
      <c r="AO87" s="16">
        <f t="shared" si="68"/>
        <v>4.2079649094653506</v>
      </c>
      <c r="AP87" s="17">
        <f t="shared" si="69"/>
        <v>52.103982454732673</v>
      </c>
    </row>
    <row r="88" spans="1:42" ht="15.75" thickBot="1">
      <c r="A88" s="219" t="s">
        <v>477</v>
      </c>
      <c r="B88" s="222">
        <f>IF(Design_Converter!B68=Lists!K2,0,1)</f>
        <v>0</v>
      </c>
      <c r="C88" s="221"/>
      <c r="D88"/>
      <c r="E88" s="36" t="s">
        <v>478</v>
      </c>
      <c r="N88">
        <v>27</v>
      </c>
      <c r="O88">
        <f t="shared" si="70"/>
        <v>58.64</v>
      </c>
      <c r="P88" s="15">
        <f t="shared" si="46"/>
        <v>0.17053206002728513</v>
      </c>
      <c r="Q88" s="16">
        <f t="shared" si="47"/>
        <v>0.82946793997271484</v>
      </c>
      <c r="R88" s="16">
        <f t="shared" si="48"/>
        <v>3.6604939981143638</v>
      </c>
      <c r="S88" s="17">
        <f t="shared" si="49"/>
        <v>51.830246999057181</v>
      </c>
      <c r="T88" s="15">
        <f t="shared" si="50"/>
        <v>0.20463847203274216</v>
      </c>
      <c r="U88" s="16">
        <f t="shared" si="51"/>
        <v>0.7953615279672579</v>
      </c>
      <c r="V88" s="16">
        <f t="shared" si="52"/>
        <v>4.2119763175671201</v>
      </c>
      <c r="W88" s="17">
        <f t="shared" si="53"/>
        <v>52.10598815878356</v>
      </c>
      <c r="X88" s="15">
        <f t="shared" si="54"/>
        <v>0.22169167803547066</v>
      </c>
      <c r="Y88" s="16">
        <f t="shared" si="55"/>
        <v>0.77830832196452937</v>
      </c>
      <c r="Z88" s="16">
        <f t="shared" si="56"/>
        <v>4.4651404172722335</v>
      </c>
      <c r="AA88" s="17">
        <f t="shared" si="57"/>
        <v>52.232570208636119</v>
      </c>
      <c r="AC88">
        <v>27</v>
      </c>
      <c r="AD88">
        <f t="shared" si="71"/>
        <v>11.62</v>
      </c>
      <c r="AE88" s="15">
        <f t="shared" si="58"/>
        <v>0.2324</v>
      </c>
      <c r="AF88" s="16">
        <f t="shared" si="59"/>
        <v>0.76760000000000006</v>
      </c>
      <c r="AG88" s="16">
        <f t="shared" si="60"/>
        <v>3.9362365401588706</v>
      </c>
      <c r="AH88" s="17">
        <f t="shared" si="61"/>
        <v>51.968118270079437</v>
      </c>
      <c r="AI88" s="15">
        <f t="shared" si="62"/>
        <v>0.21127272727272725</v>
      </c>
      <c r="AJ88" s="16">
        <f t="shared" si="63"/>
        <v>0.78872727272727272</v>
      </c>
      <c r="AK88" s="16">
        <f t="shared" si="64"/>
        <v>4.0445767471716279</v>
      </c>
      <c r="AL88" s="17">
        <f t="shared" si="65"/>
        <v>52.022288373585816</v>
      </c>
      <c r="AM88" s="15">
        <f t="shared" si="66"/>
        <v>0.17606060606060606</v>
      </c>
      <c r="AN88" s="16">
        <f t="shared" si="67"/>
        <v>0.82393939393939397</v>
      </c>
      <c r="AO88" s="16">
        <f t="shared" si="68"/>
        <v>4.2251437588595575</v>
      </c>
      <c r="AP88" s="17">
        <f t="shared" si="69"/>
        <v>52.11257187942978</v>
      </c>
    </row>
    <row r="89" spans="1:42" ht="15.75" thickBot="1">
      <c r="A89"/>
      <c r="B89"/>
      <c r="C89"/>
      <c r="D89"/>
      <c r="N89">
        <v>28</v>
      </c>
      <c r="O89">
        <f t="shared" si="70"/>
        <v>58.96</v>
      </c>
      <c r="P89" s="15">
        <f t="shared" si="46"/>
        <v>0.16960651289009498</v>
      </c>
      <c r="Q89" s="16">
        <f t="shared" si="47"/>
        <v>0.83039348710990502</v>
      </c>
      <c r="R89" s="16">
        <f t="shared" si="48"/>
        <v>3.6645784956306486</v>
      </c>
      <c r="S89" s="17">
        <f t="shared" si="49"/>
        <v>51.832289247815325</v>
      </c>
      <c r="T89" s="15">
        <f t="shared" si="50"/>
        <v>0.20352781546811397</v>
      </c>
      <c r="U89" s="16">
        <f t="shared" si="51"/>
        <v>0.79647218453188606</v>
      </c>
      <c r="V89" s="16">
        <f t="shared" si="52"/>
        <v>4.2178579939905703</v>
      </c>
      <c r="W89" s="17">
        <f t="shared" si="53"/>
        <v>52.108928996995289</v>
      </c>
      <c r="X89" s="15">
        <f t="shared" si="54"/>
        <v>0.22048846675712347</v>
      </c>
      <c r="Y89" s="16">
        <f t="shared" si="55"/>
        <v>0.77951153324287659</v>
      </c>
      <c r="Z89" s="16">
        <f t="shared" si="56"/>
        <v>4.4720432180747549</v>
      </c>
      <c r="AA89" s="17">
        <f t="shared" si="57"/>
        <v>52.23602160903738</v>
      </c>
      <c r="AC89">
        <v>28</v>
      </c>
      <c r="AD89">
        <f t="shared" si="71"/>
        <v>11.68</v>
      </c>
      <c r="AE89" s="15">
        <f t="shared" si="58"/>
        <v>0.2336</v>
      </c>
      <c r="AF89" s="16">
        <f t="shared" si="59"/>
        <v>0.76639999999999997</v>
      </c>
      <c r="AG89" s="16">
        <f t="shared" si="60"/>
        <v>3.9503759929390996</v>
      </c>
      <c r="AH89" s="17">
        <f t="shared" si="61"/>
        <v>51.97518799646955</v>
      </c>
      <c r="AI89" s="15">
        <f t="shared" si="62"/>
        <v>0.21236363636363637</v>
      </c>
      <c r="AJ89" s="16">
        <f t="shared" si="63"/>
        <v>0.78763636363636369</v>
      </c>
      <c r="AK89" s="16">
        <f t="shared" si="64"/>
        <v>4.0598379202439219</v>
      </c>
      <c r="AL89" s="17">
        <f t="shared" si="65"/>
        <v>52.029918960121961</v>
      </c>
      <c r="AM89" s="15">
        <f t="shared" si="66"/>
        <v>0.17696969696969697</v>
      </c>
      <c r="AN89" s="16">
        <f t="shared" si="67"/>
        <v>0.823030303030303</v>
      </c>
      <c r="AO89" s="16">
        <f t="shared" si="68"/>
        <v>4.2422744657519589</v>
      </c>
      <c r="AP89" s="17">
        <f t="shared" si="69"/>
        <v>52.121137232875981</v>
      </c>
    </row>
    <row r="90" spans="1:42">
      <c r="A90" s="289" t="s">
        <v>462</v>
      </c>
      <c r="B90" s="290"/>
      <c r="C90" s="291"/>
      <c r="D90"/>
      <c r="N90">
        <v>29</v>
      </c>
      <c r="O90">
        <f t="shared" si="70"/>
        <v>59.28</v>
      </c>
      <c r="P90" s="15">
        <f t="shared" si="46"/>
        <v>0.16869095816464239</v>
      </c>
      <c r="Q90" s="16">
        <f t="shared" si="47"/>
        <v>0.83130904183535759</v>
      </c>
      <c r="R90" s="16">
        <f t="shared" si="48"/>
        <v>3.6686188960077568</v>
      </c>
      <c r="S90" s="17">
        <f t="shared" si="49"/>
        <v>51.834309448003879</v>
      </c>
      <c r="T90" s="15">
        <f t="shared" si="50"/>
        <v>0.20242914979757085</v>
      </c>
      <c r="U90" s="16">
        <f t="shared" si="51"/>
        <v>0.79757085020242913</v>
      </c>
      <c r="V90" s="16">
        <f t="shared" si="52"/>
        <v>4.2236761705336052</v>
      </c>
      <c r="W90" s="17">
        <f t="shared" si="53"/>
        <v>52.111838085266804</v>
      </c>
      <c r="X90" s="15">
        <f t="shared" si="54"/>
        <v>0.21929824561403508</v>
      </c>
      <c r="Y90" s="16">
        <f t="shared" si="55"/>
        <v>0.7807017543859649</v>
      </c>
      <c r="Z90" s="16">
        <f t="shared" si="56"/>
        <v>4.4788714947120667</v>
      </c>
      <c r="AA90" s="17">
        <f t="shared" si="57"/>
        <v>52.239435747356033</v>
      </c>
      <c r="AC90">
        <v>29</v>
      </c>
      <c r="AD90">
        <f t="shared" si="71"/>
        <v>11.74</v>
      </c>
      <c r="AE90" s="15">
        <f t="shared" si="58"/>
        <v>0.23480000000000001</v>
      </c>
      <c r="AF90" s="16">
        <f t="shared" si="59"/>
        <v>0.76519999999999999</v>
      </c>
      <c r="AG90" s="16">
        <f t="shared" si="60"/>
        <v>3.9644518976169461</v>
      </c>
      <c r="AH90" s="17">
        <f t="shared" si="61"/>
        <v>51.98222594880847</v>
      </c>
      <c r="AI90" s="15">
        <f t="shared" si="62"/>
        <v>0.21345454545454545</v>
      </c>
      <c r="AJ90" s="16">
        <f t="shared" si="63"/>
        <v>0.78654545454545455</v>
      </c>
      <c r="AK90" s="16">
        <f t="shared" si="64"/>
        <v>4.0750413223140489</v>
      </c>
      <c r="AL90" s="17">
        <f t="shared" si="65"/>
        <v>52.037520661157025</v>
      </c>
      <c r="AM90" s="15">
        <f t="shared" si="66"/>
        <v>0.17787878787878789</v>
      </c>
      <c r="AN90" s="16">
        <f t="shared" si="67"/>
        <v>0.82212121212121214</v>
      </c>
      <c r="AO90" s="16">
        <f t="shared" si="68"/>
        <v>4.2593570301425556</v>
      </c>
      <c r="AP90" s="17">
        <f t="shared" si="69"/>
        <v>52.129678515071276</v>
      </c>
    </row>
    <row r="91" spans="1:42">
      <c r="A91" s="73" t="s">
        <v>463</v>
      </c>
      <c r="B91" s="47">
        <f>Design_Converter!B70</f>
        <v>2</v>
      </c>
      <c r="C91" s="42" t="s">
        <v>103</v>
      </c>
      <c r="D91"/>
      <c r="N91">
        <v>30</v>
      </c>
      <c r="O91">
        <f t="shared" si="70"/>
        <v>59.6</v>
      </c>
      <c r="P91" s="15">
        <f t="shared" si="46"/>
        <v>0.16778523489932887</v>
      </c>
      <c r="Q91" s="16">
        <f t="shared" si="47"/>
        <v>0.83221476510067116</v>
      </c>
      <c r="R91" s="16">
        <f t="shared" si="48"/>
        <v>3.6726159095351778</v>
      </c>
      <c r="S91" s="17">
        <f t="shared" si="49"/>
        <v>51.836307954767591</v>
      </c>
      <c r="T91" s="15">
        <f t="shared" si="50"/>
        <v>0.20134228187919462</v>
      </c>
      <c r="U91" s="16">
        <f t="shared" si="51"/>
        <v>0.79865771812080544</v>
      </c>
      <c r="V91" s="16">
        <f t="shared" si="52"/>
        <v>4.2294318700130908</v>
      </c>
      <c r="W91" s="17">
        <f t="shared" si="53"/>
        <v>52.114715935006544</v>
      </c>
      <c r="X91" s="15">
        <f t="shared" si="54"/>
        <v>0.21812080536912751</v>
      </c>
      <c r="Y91" s="16">
        <f t="shared" si="55"/>
        <v>0.78187919463087252</v>
      </c>
      <c r="Z91" s="16">
        <f t="shared" si="56"/>
        <v>4.4856264475734076</v>
      </c>
      <c r="AA91" s="17">
        <f t="shared" si="57"/>
        <v>52.242813223786705</v>
      </c>
      <c r="AC91">
        <v>30</v>
      </c>
      <c r="AD91">
        <f t="shared" si="71"/>
        <v>11.8</v>
      </c>
      <c r="AE91" s="15">
        <f t="shared" si="58"/>
        <v>0.23600000000000002</v>
      </c>
      <c r="AF91" s="16">
        <f t="shared" si="59"/>
        <v>0.76400000000000001</v>
      </c>
      <c r="AG91" s="16">
        <f t="shared" si="60"/>
        <v>3.9784642541924105</v>
      </c>
      <c r="AH91" s="17">
        <f t="shared" si="61"/>
        <v>51.989232127096209</v>
      </c>
      <c r="AI91" s="15">
        <f t="shared" si="62"/>
        <v>0.21454545454545457</v>
      </c>
      <c r="AJ91" s="16">
        <f t="shared" si="63"/>
        <v>0.78545454545454541</v>
      </c>
      <c r="AK91" s="16">
        <f t="shared" si="64"/>
        <v>4.0901869533820117</v>
      </c>
      <c r="AL91" s="17">
        <f t="shared" si="65"/>
        <v>52.045093476691008</v>
      </c>
      <c r="AM91" s="15">
        <f t="shared" si="66"/>
        <v>0.1787878787878788</v>
      </c>
      <c r="AN91" s="16">
        <f t="shared" si="67"/>
        <v>0.82121212121212117</v>
      </c>
      <c r="AO91" s="16">
        <f t="shared" si="68"/>
        <v>4.2763914520313469</v>
      </c>
      <c r="AP91" s="17">
        <f t="shared" si="69"/>
        <v>52.138195726015674</v>
      </c>
    </row>
    <row r="92" spans="1:42" ht="18">
      <c r="A92" s="73" t="s">
        <v>465</v>
      </c>
      <c r="B92" s="47">
        <f>Design_Converter!B71</f>
        <v>1.75</v>
      </c>
      <c r="C92" s="42" t="s">
        <v>1</v>
      </c>
      <c r="N92">
        <v>31</v>
      </c>
      <c r="O92">
        <f t="shared" si="70"/>
        <v>59.92</v>
      </c>
      <c r="P92" s="15">
        <f t="shared" si="46"/>
        <v>0.16688918558077437</v>
      </c>
      <c r="Q92" s="16">
        <f t="shared" si="47"/>
        <v>0.83311081441922563</v>
      </c>
      <c r="R92" s="16">
        <f t="shared" si="48"/>
        <v>3.676570231329328</v>
      </c>
      <c r="S92" s="17">
        <f t="shared" si="49"/>
        <v>51.838285115664661</v>
      </c>
      <c r="T92" s="15">
        <f t="shared" si="50"/>
        <v>0.20026702269692923</v>
      </c>
      <c r="U92" s="16">
        <f t="shared" si="51"/>
        <v>0.7997329773030708</v>
      </c>
      <c r="V92" s="16">
        <f t="shared" si="52"/>
        <v>4.2351260933966675</v>
      </c>
      <c r="W92" s="17">
        <f t="shared" si="53"/>
        <v>52.117563046698336</v>
      </c>
      <c r="X92" s="15">
        <f t="shared" si="54"/>
        <v>0.21695594125500667</v>
      </c>
      <c r="Y92" s="16">
        <f t="shared" si="55"/>
        <v>0.78304405874499339</v>
      </c>
      <c r="Z92" s="16">
        <f t="shared" si="56"/>
        <v>4.4923092514055218</v>
      </c>
      <c r="AA92" s="17">
        <f t="shared" si="57"/>
        <v>52.246154625702758</v>
      </c>
      <c r="AC92">
        <v>31</v>
      </c>
      <c r="AD92">
        <f t="shared" si="71"/>
        <v>11.86</v>
      </c>
      <c r="AE92" s="15">
        <f t="shared" si="58"/>
        <v>0.23719999999999999</v>
      </c>
      <c r="AF92" s="16">
        <f t="shared" si="59"/>
        <v>0.76280000000000003</v>
      </c>
      <c r="AG92" s="16">
        <f t="shared" si="60"/>
        <v>3.9924130626654897</v>
      </c>
      <c r="AH92" s="17">
        <f t="shared" si="61"/>
        <v>51.996206531332746</v>
      </c>
      <c r="AI92" s="15">
        <f t="shared" si="62"/>
        <v>0.21563636363636363</v>
      </c>
      <c r="AJ92" s="16">
        <f t="shared" si="63"/>
        <v>0.78436363636363637</v>
      </c>
      <c r="AK92" s="16">
        <f t="shared" si="64"/>
        <v>4.1052748134478056</v>
      </c>
      <c r="AL92" s="17">
        <f t="shared" si="65"/>
        <v>52.052637406723903</v>
      </c>
      <c r="AM92" s="15">
        <f t="shared" si="66"/>
        <v>0.17969696969696969</v>
      </c>
      <c r="AN92" s="16">
        <f t="shared" si="67"/>
        <v>0.82030303030303031</v>
      </c>
      <c r="AO92" s="16">
        <f t="shared" si="68"/>
        <v>4.2933777314183317</v>
      </c>
      <c r="AP92" s="17">
        <f t="shared" si="69"/>
        <v>52.146688865709166</v>
      </c>
    </row>
    <row r="93" spans="1:42">
      <c r="A93" s="73" t="s">
        <v>473</v>
      </c>
      <c r="B93" s="47">
        <f>Design_Converter!B72</f>
        <v>3.5</v>
      </c>
      <c r="C93" s="42" t="s">
        <v>1</v>
      </c>
      <c r="N93">
        <v>32</v>
      </c>
      <c r="O93">
        <f t="shared" si="70"/>
        <v>60.24</v>
      </c>
      <c r="P93" s="15">
        <f t="shared" ref="P93:P111" si="72">IF(I_Channel&lt;(($O93-V12_Min)*V12_Min)/((2*Lm*Fsw)*$O93),SQRT((2*I_Channel*Lm*Fsw*V12_Min)/($O93*($O93-V12_Min))),(V12_Min/$O93))</f>
        <v>0.16600265604249667</v>
      </c>
      <c r="Q93" s="16">
        <f t="shared" ref="Q93:Q111" si="73">IF(I_Channel&lt;(($O93-V12_Min)*V12_Min)/((2*Lm*Fsw)*$O93),SQRT((2*I_Channel*Lm*Fsw*V12_Min)/($O93*($O93-V12_Min)))*(($O93-V12_Min)/(V12_Min)),1-(V12_Min/$O93))</f>
        <v>0.83399734395750336</v>
      </c>
      <c r="R93" s="16">
        <f t="shared" ref="R93:R111" si="74">IF(I_Channel&lt;(($O93-V12_Min)*V12_Min)/((2*Lm*Fsw)*$O93),(P93/(Fsw*Lm))*($O93-V12_Min),((P93/(Fsw*Lm))*($O93-V12_Min)))</f>
        <v>3.6804825417365548</v>
      </c>
      <c r="S93" s="17">
        <f t="shared" ref="S93:S111" si="75">IF(I_Channel&lt;(($O93-V12_Min)*V12_Min)/((2*Lm*Fsw)*$O93),(P93/(Fsw*Lm))*($O93-V12_Min),(R93/2)+I_Channel)</f>
        <v>51.840241270868276</v>
      </c>
      <c r="T93" s="15">
        <f t="shared" ref="T93:T111" si="76">IF(I_Channel&lt;(($O93-V12_Nom)*V12_Nom)/((2*Lm*Fsw)*$O93),SQRT((2*I_Channel*Lm*Fsw*V12_Nom)/($O93*($O93-V12_Nom))),(V12_Nom/$O93))</f>
        <v>0.19920318725099601</v>
      </c>
      <c r="U93" s="16">
        <f t="shared" ref="U93:U111" si="77">IF(I_Channel&lt;(($O93-V12_Nom)*V12_Nom)/((2*Lm*Fsw)*$O93),SQRT((2*I_Channel*Lm*Fsw*V12_Nom)/($O93*($O93-V12_Nom)))*(($O93-V12_Nom)/(V12_Nom)),1-(V12_Nom/$O93))</f>
        <v>0.80079681274900394</v>
      </c>
      <c r="V93" s="16">
        <f t="shared" ref="V93:V111" si="78">IF(I_Channel&lt;(($O93-V12_Nom)*V12_Nom)/((2*Lm*Fsw)*$O93),(T93/(Fsw*Lm))*($O93-V12_Nom),((T93/(Fsw*Lm))*($O93-V12_Nom)))</f>
        <v>4.240759820383075</v>
      </c>
      <c r="W93" s="17">
        <f t="shared" ref="W93:W111" si="79">IF(I_Channel&lt;(($O93-V12_Nom)*V12_Nom)/((2*Lm*Fsw)*$O93),(T93/(Fsw*Lm))*($O93-V12_Nom),(V93/2)+I_Channel)</f>
        <v>52.120379910191538</v>
      </c>
      <c r="X93" s="15">
        <f t="shared" ref="X93:X111" si="80">IF(I_Channel&lt;(($O93-V12_Max)*V12_Max)/((2*Lm*Fsw)*$O93),SQRT((2*I_Channel*Lm*Fsw*V12_Max)/($O93*($O93-V12_Max))),(V12_Max/$O93))</f>
        <v>0.21580345285524569</v>
      </c>
      <c r="Y93" s="16">
        <f t="shared" ref="Y93:Y111" si="81">IF(I_Channel&lt;(($O93-V12_Max)*V12_Max)/((2*Lm*Fsw)*$O93),SQRT((2*I_Channel*Lm*Fsw*V12_Max)/($O93*($O93-V12_Max)))*(($O93-V12_Max)/(V12_Max)),1-(V12_Max/$O93))</f>
        <v>0.78419654714475429</v>
      </c>
      <c r="Z93" s="16">
        <f t="shared" ref="Z93:Z111" si="82">IF(I_Channel&lt;(($O93-V12_Max)*V12_Max)/((2*Lm*Fsw)*$O93),(X93/(Fsw*Lm))*($O93-V12_Max),((X93/(Fsw*Lm))*($O93-V12_Max)))</f>
        <v>4.4989210559937369</v>
      </c>
      <c r="AA93" s="17">
        <f t="shared" ref="AA93:AA111" si="83">IF(I_Channel&lt;(($O93-V12_Max)*V12_Max)/((2*Lm*Fsw)*$O93),(X93/(Fsw*Lm))*($O93-V12_Max),(Z93/2)+I_Channel)</f>
        <v>52.249460527996867</v>
      </c>
      <c r="AC93">
        <v>32</v>
      </c>
      <c r="AD93">
        <f t="shared" si="71"/>
        <v>11.92</v>
      </c>
      <c r="AE93" s="15">
        <f t="shared" ref="AE93:AE111" si="84">IF(I_Channel&lt;((V48_Min-$AD93)*$AD93)/((2*Lm*Fsw)*V48_Min),SQRT((2*I_Channel*Lm*Fsw*$AD93)/(V48_Min*(V48_Min-$AD93))),($AD93/V48_Min))</f>
        <v>0.2384</v>
      </c>
      <c r="AF93" s="16">
        <f t="shared" ref="AF93:AF111" si="85">IF(I_Channel&lt;((V48_Min-$AD93)*$AD93)/((2*Lm*Fsw)*V48_Min),SQRT((2*I_Channel*Lm*Fsw*$AD93)/(V48_Min*(V48_Min-$AD93)))*((V48_Min-$AD93)/($AD93)),1-($AD93/V48_Min))</f>
        <v>0.76160000000000005</v>
      </c>
      <c r="AG93" s="16">
        <f t="shared" ref="AG93:AG111" si="86">IF(I_Channel&lt;((V48_Min-$AD93)*$AD93)/((2*Lm*Fsw)*V48_Min),(AE93/(Fsw*Lm))*(V48_Min-$AD93),((AE93/(Fsw*Lm))*(V48_Min-$AD93)))</f>
        <v>4.0062983230361873</v>
      </c>
      <c r="AH93" s="17">
        <f t="shared" ref="AH93:AH111" si="87">IF(I_Channel&lt;((V48_Min-$AD93)*$AD93)/((2*Lm*Fsw)*V48_Min),(AE93/(Fsw*Lm))*(V48_Min-$AD93),(AG93/2)+I_Channel)</f>
        <v>52.003149161518095</v>
      </c>
      <c r="AI93" s="15">
        <f t="shared" ref="AI93:AI111" si="88">IF(I_Channel&lt;((V48_Nom-$AD93)*$AD93)/((2*Lm*Fsw)*V48_Nom),SQRT((2*I_Channel*Lm*Fsw*$AD93)/(V48_Nom*(V48_Nom-$AD93))),($AD93/V48_Nom))</f>
        <v>0.21672727272727271</v>
      </c>
      <c r="AJ93" s="16">
        <f t="shared" ref="AJ93:AJ111" si="89">IF(I_Channel&lt;((V48_Nom-$AD93)*$AD93)/((2*Lm*Fsw)*V48_Nom),SQRT((2*I_Channel*Lm*Fsw*$AD93)/(V48_Nom*(V48_Nom-$AD93)))*((V48_Nom-$AD93)/($AD93)),1-($AD93/V48_Nom))</f>
        <v>0.78327272727272734</v>
      </c>
      <c r="AK93" s="16">
        <f t="shared" ref="AK93:AK111" si="90">IF(I_Channel&lt;((V48_Nom-$AD93)*$AD93)/((2*Lm*Fsw)*V48_Nom),(AI93/(Fsw*Lm))*(V48_Nom-$AD93),((AI93/(Fsw*Lm))*(V48_Nom-$AD93)))</f>
        <v>4.1203049025114336</v>
      </c>
      <c r="AL93" s="17">
        <f t="shared" ref="AL93:AL111" si="91">IF(I_Channel&lt;((V48_Nom-$AD93)*$AD93)/((2*Lm*Fsw)*V48_Nom),(AI93/(Fsw*Lm))*(V48_Nom-$AD93),(AK93/2)+I_Channel)</f>
        <v>52.060152451255718</v>
      </c>
      <c r="AM93" s="15">
        <f t="shared" ref="AM93:AM111" si="92">IF(I_Channel&lt;((V48_Max-$AD93)*$AD93)/((2*Lm*Fsw)*V48_Max),SQRT((2*I_Channel*Lm*Fsw*$AD93)/(V48_Max*(V48_Max-$AD93))),($AD93/V48_Max))</f>
        <v>0.1806060606060606</v>
      </c>
      <c r="AN93" s="16">
        <f t="shared" ref="AN93:AN111" si="93">IF(I_Channel&lt;((V48_Max-$AD93)*$AD93)/((2*Lm*Fsw)*V48_Max),SQRT((2*I_Channel*Lm*Fsw*$AD93)/(V48_Max*(V48_Max-$AD93)))*((V48_Max-$AD93)/($AD93)),1-($AD93/V48_Max))</f>
        <v>0.81939393939393934</v>
      </c>
      <c r="AO93" s="16">
        <f t="shared" ref="AO93:AO111" si="94">IF(I_Channel&lt;((V48_Max-$AD93)*$AD93)/((2*Lm*Fsw)*V48_Max),(AM93/(Fsw*Lm))*(V48_Max-$AD93),((AM93/(Fsw*Lm))*(V48_Max-$AD93)))</f>
        <v>4.310315868303511</v>
      </c>
      <c r="AP93" s="17">
        <f t="shared" ref="AP93:AP111" si="95">IF(I_Channel&lt;((V48_Max-$AD93)*$AD93)/((2*Lm*Fsw)*V48_Max),(AM93/(Fsw*Lm))*(V48_Max-$AD93),(AO93/2)+I_Channel)</f>
        <v>52.155157934151752</v>
      </c>
    </row>
    <row r="94" spans="1:42" ht="18">
      <c r="A94" s="73" t="s">
        <v>467</v>
      </c>
      <c r="B94" s="55">
        <f>B92/0.1</f>
        <v>17.5</v>
      </c>
      <c r="C94" s="215" t="s">
        <v>95</v>
      </c>
      <c r="N94">
        <v>33</v>
      </c>
      <c r="O94">
        <f t="shared" ref="O94:O111" si="96">((V48_Max-V48_Min)/50)*N94+V48_Min</f>
        <v>60.56</v>
      </c>
      <c r="P94" s="15">
        <f t="shared" si="72"/>
        <v>0.16512549537648613</v>
      </c>
      <c r="Q94" s="16">
        <f t="shared" si="73"/>
        <v>0.83487450462351387</v>
      </c>
      <c r="R94" s="16">
        <f t="shared" si="74"/>
        <v>3.6843535067233621</v>
      </c>
      <c r="S94" s="17">
        <f t="shared" si="75"/>
        <v>51.842176753361684</v>
      </c>
      <c r="T94" s="15">
        <f t="shared" si="76"/>
        <v>0.19815059445178335</v>
      </c>
      <c r="U94" s="16">
        <f t="shared" si="77"/>
        <v>0.8018494055482166</v>
      </c>
      <c r="V94" s="16">
        <f t="shared" si="78"/>
        <v>4.2463340099640776</v>
      </c>
      <c r="W94" s="17">
        <f t="shared" si="79"/>
        <v>52.123167004982037</v>
      </c>
      <c r="X94" s="15">
        <f t="shared" si="80"/>
        <v>0.21466314398943195</v>
      </c>
      <c r="Y94" s="16">
        <f t="shared" si="81"/>
        <v>0.78533685601056802</v>
      </c>
      <c r="Z94" s="16">
        <f t="shared" si="82"/>
        <v>4.5054629868214402</v>
      </c>
      <c r="AA94" s="17">
        <f t="shared" si="83"/>
        <v>52.252731493410721</v>
      </c>
      <c r="AC94">
        <v>33</v>
      </c>
      <c r="AD94">
        <f t="shared" ref="AD94:AD111" si="97">((V12_Max-V12_Min)/50)*AC94+V12_Min</f>
        <v>11.98</v>
      </c>
      <c r="AE94" s="15">
        <f t="shared" si="84"/>
        <v>0.23960000000000001</v>
      </c>
      <c r="AF94" s="16">
        <f t="shared" si="85"/>
        <v>0.76039999999999996</v>
      </c>
      <c r="AG94" s="16">
        <f t="shared" si="86"/>
        <v>4.020120035304501</v>
      </c>
      <c r="AH94" s="17">
        <f t="shared" si="87"/>
        <v>52.010060017652251</v>
      </c>
      <c r="AI94" s="15">
        <f t="shared" si="88"/>
        <v>0.21781818181818183</v>
      </c>
      <c r="AJ94" s="16">
        <f t="shared" si="89"/>
        <v>0.7821818181818182</v>
      </c>
      <c r="AK94" s="16">
        <f t="shared" si="90"/>
        <v>4.1352772205728954</v>
      </c>
      <c r="AL94" s="17">
        <f t="shared" si="91"/>
        <v>52.067638610286451</v>
      </c>
      <c r="AM94" s="15">
        <f t="shared" si="92"/>
        <v>0.18151515151515152</v>
      </c>
      <c r="AN94" s="16">
        <f t="shared" si="93"/>
        <v>0.81848484848484848</v>
      </c>
      <c r="AO94" s="16">
        <f t="shared" si="94"/>
        <v>4.3272058626868857</v>
      </c>
      <c r="AP94" s="17">
        <f t="shared" si="95"/>
        <v>52.163602931343441</v>
      </c>
    </row>
    <row r="95" spans="1:42" ht="18">
      <c r="A95" s="73" t="s">
        <v>468</v>
      </c>
      <c r="B95" s="47">
        <f>Design_Converter!B74</f>
        <v>22</v>
      </c>
      <c r="C95" s="215" t="s">
        <v>95</v>
      </c>
      <c r="N95">
        <v>34</v>
      </c>
      <c r="O95">
        <f t="shared" si="96"/>
        <v>60.88</v>
      </c>
      <c r="P95" s="15">
        <f t="shared" si="72"/>
        <v>0.16425755584756899</v>
      </c>
      <c r="Q95" s="16">
        <f t="shared" si="73"/>
        <v>0.83574244415243104</v>
      </c>
      <c r="R95" s="16">
        <f t="shared" si="74"/>
        <v>3.6881837782543294</v>
      </c>
      <c r="S95" s="17">
        <f t="shared" si="75"/>
        <v>51.844091889127164</v>
      </c>
      <c r="T95" s="15">
        <f t="shared" si="76"/>
        <v>0.19710906701708278</v>
      </c>
      <c r="U95" s="16">
        <f t="shared" si="77"/>
        <v>0.80289093298291725</v>
      </c>
      <c r="V95" s="16">
        <f t="shared" si="78"/>
        <v>4.2518496009686704</v>
      </c>
      <c r="W95" s="17">
        <f t="shared" si="79"/>
        <v>52.125924800484334</v>
      </c>
      <c r="X95" s="15">
        <f t="shared" si="80"/>
        <v>0.21353482260183967</v>
      </c>
      <c r="Y95" s="16">
        <f t="shared" si="81"/>
        <v>0.78646517739816035</v>
      </c>
      <c r="Z95" s="16">
        <f t="shared" si="82"/>
        <v>4.5119361457087752</v>
      </c>
      <c r="AA95" s="17">
        <f t="shared" si="83"/>
        <v>52.255968072854387</v>
      </c>
      <c r="AC95">
        <v>34</v>
      </c>
      <c r="AD95">
        <f t="shared" si="97"/>
        <v>12.04</v>
      </c>
      <c r="AE95" s="15">
        <f t="shared" si="84"/>
        <v>0.24079999999999999</v>
      </c>
      <c r="AF95" s="16">
        <f t="shared" si="85"/>
        <v>0.75919999999999999</v>
      </c>
      <c r="AG95" s="16">
        <f t="shared" si="86"/>
        <v>4.0338781994704318</v>
      </c>
      <c r="AH95" s="17">
        <f t="shared" si="87"/>
        <v>52.016939099735218</v>
      </c>
      <c r="AI95" s="15">
        <f t="shared" si="88"/>
        <v>0.21890909090909089</v>
      </c>
      <c r="AJ95" s="16">
        <f t="shared" si="89"/>
        <v>0.78109090909090906</v>
      </c>
      <c r="AK95" s="16">
        <f t="shared" si="90"/>
        <v>4.1501917676321911</v>
      </c>
      <c r="AL95" s="17">
        <f t="shared" si="91"/>
        <v>52.075095883816097</v>
      </c>
      <c r="AM95" s="15">
        <f t="shared" si="92"/>
        <v>0.18242424242424241</v>
      </c>
      <c r="AN95" s="16">
        <f t="shared" si="93"/>
        <v>0.81757575757575762</v>
      </c>
      <c r="AO95" s="16">
        <f t="shared" si="94"/>
        <v>4.3440477145684557</v>
      </c>
      <c r="AP95" s="17">
        <f t="shared" si="95"/>
        <v>52.172023857284231</v>
      </c>
    </row>
    <row r="96" spans="1:42" ht="18">
      <c r="A96" s="73" t="s">
        <v>469</v>
      </c>
      <c r="B96" s="55">
        <f>(B93-B92)/B92*B95</f>
        <v>22</v>
      </c>
      <c r="C96" s="215" t="s">
        <v>95</v>
      </c>
      <c r="N96">
        <v>35</v>
      </c>
      <c r="O96">
        <f t="shared" si="96"/>
        <v>61.2</v>
      </c>
      <c r="P96" s="15">
        <f t="shared" si="72"/>
        <v>0.16339869281045752</v>
      </c>
      <c r="Q96" s="16">
        <f t="shared" si="73"/>
        <v>0.83660130718954251</v>
      </c>
      <c r="R96" s="16">
        <f t="shared" si="74"/>
        <v>3.6919739946581753</v>
      </c>
      <c r="S96" s="17">
        <f t="shared" si="75"/>
        <v>51.845986997329085</v>
      </c>
      <c r="T96" s="15">
        <f t="shared" si="76"/>
        <v>0.19607843137254902</v>
      </c>
      <c r="U96" s="16">
        <f t="shared" si="77"/>
        <v>0.80392156862745101</v>
      </c>
      <c r="V96" s="16">
        <f t="shared" si="78"/>
        <v>4.2573075125902085</v>
      </c>
      <c r="W96" s="17">
        <f t="shared" si="79"/>
        <v>52.128653756295101</v>
      </c>
      <c r="X96" s="15">
        <f t="shared" si="80"/>
        <v>0.21241830065359477</v>
      </c>
      <c r="Y96" s="16">
        <f t="shared" si="81"/>
        <v>0.78758169934640521</v>
      </c>
      <c r="Z96" s="16">
        <f t="shared" si="82"/>
        <v>4.5183416114312749</v>
      </c>
      <c r="AA96" s="17">
        <f t="shared" si="83"/>
        <v>52.259170805715641</v>
      </c>
      <c r="AC96">
        <v>35</v>
      </c>
      <c r="AD96">
        <f t="shared" si="97"/>
        <v>12.1</v>
      </c>
      <c r="AE96" s="15">
        <f t="shared" si="84"/>
        <v>0.24199999999999999</v>
      </c>
      <c r="AF96" s="16">
        <f t="shared" si="85"/>
        <v>0.75800000000000001</v>
      </c>
      <c r="AG96" s="16">
        <f t="shared" si="86"/>
        <v>4.0475728155339805</v>
      </c>
      <c r="AH96" s="17">
        <f t="shared" si="87"/>
        <v>52.023786407766991</v>
      </c>
      <c r="AI96" s="15">
        <f t="shared" si="88"/>
        <v>0.22</v>
      </c>
      <c r="AJ96" s="16">
        <f t="shared" si="89"/>
        <v>0.78</v>
      </c>
      <c r="AK96" s="16">
        <f t="shared" si="90"/>
        <v>4.1650485436893199</v>
      </c>
      <c r="AL96" s="17">
        <f t="shared" si="91"/>
        <v>52.082524271844662</v>
      </c>
      <c r="AM96" s="15">
        <f t="shared" si="92"/>
        <v>0.18333333333333332</v>
      </c>
      <c r="AN96" s="16">
        <f t="shared" si="93"/>
        <v>0.81666666666666665</v>
      </c>
      <c r="AO96" s="16">
        <f t="shared" si="94"/>
        <v>4.3608414239482194</v>
      </c>
      <c r="AP96" s="17">
        <f t="shared" si="95"/>
        <v>52.180420711974108</v>
      </c>
    </row>
    <row r="97" spans="1:42" ht="18">
      <c r="A97" s="73" t="s">
        <v>466</v>
      </c>
      <c r="B97" s="47">
        <f>Design_Converter!B76</f>
        <v>22</v>
      </c>
      <c r="C97" s="215" t="s">
        <v>95</v>
      </c>
      <c r="N97">
        <v>36</v>
      </c>
      <c r="O97">
        <f t="shared" si="96"/>
        <v>61.519999999999996</v>
      </c>
      <c r="P97" s="15">
        <f t="shared" si="72"/>
        <v>0.16254876462938883</v>
      </c>
      <c r="Q97" s="16">
        <f t="shared" si="73"/>
        <v>0.83745123537061117</v>
      </c>
      <c r="R97" s="16">
        <f t="shared" si="74"/>
        <v>3.6957247809823972</v>
      </c>
      <c r="S97" s="17">
        <f t="shared" si="75"/>
        <v>51.847862390491201</v>
      </c>
      <c r="T97" s="15">
        <f t="shared" si="76"/>
        <v>0.1950585175552666</v>
      </c>
      <c r="U97" s="16">
        <f t="shared" si="77"/>
        <v>0.8049414824447334</v>
      </c>
      <c r="V97" s="16">
        <f t="shared" si="78"/>
        <v>4.2627086448970877</v>
      </c>
      <c r="W97" s="17">
        <f t="shared" si="79"/>
        <v>52.131354322448544</v>
      </c>
      <c r="X97" s="15">
        <f t="shared" si="80"/>
        <v>0.21131339401820548</v>
      </c>
      <c r="Y97" s="16">
        <f t="shared" si="81"/>
        <v>0.78868660598179452</v>
      </c>
      <c r="Z97" s="16">
        <f t="shared" si="82"/>
        <v>4.5246804403192096</v>
      </c>
      <c r="AA97" s="17">
        <f t="shared" si="83"/>
        <v>52.262340220159608</v>
      </c>
      <c r="AC97">
        <v>36</v>
      </c>
      <c r="AD97">
        <f t="shared" si="97"/>
        <v>12.16</v>
      </c>
      <c r="AE97" s="15">
        <f t="shared" si="84"/>
        <v>0.2432</v>
      </c>
      <c r="AF97" s="16">
        <f t="shared" si="85"/>
        <v>0.75680000000000003</v>
      </c>
      <c r="AG97" s="16">
        <f t="shared" si="86"/>
        <v>4.0612038834951463</v>
      </c>
      <c r="AH97" s="17">
        <f t="shared" si="87"/>
        <v>52.030601941747577</v>
      </c>
      <c r="AI97" s="15">
        <f t="shared" si="88"/>
        <v>0.22109090909090909</v>
      </c>
      <c r="AJ97" s="16">
        <f t="shared" si="89"/>
        <v>0.77890909090909088</v>
      </c>
      <c r="AK97" s="16">
        <f t="shared" si="90"/>
        <v>4.1798475487442834</v>
      </c>
      <c r="AL97" s="17">
        <f t="shared" si="91"/>
        <v>52.089923774372139</v>
      </c>
      <c r="AM97" s="15">
        <f t="shared" si="92"/>
        <v>0.18424242424242424</v>
      </c>
      <c r="AN97" s="16">
        <f t="shared" si="93"/>
        <v>0.81575757575757579</v>
      </c>
      <c r="AO97" s="16">
        <f t="shared" si="94"/>
        <v>4.3775869908261793</v>
      </c>
      <c r="AP97" s="17">
        <f t="shared" si="95"/>
        <v>52.188793495413087</v>
      </c>
    </row>
    <row r="98" spans="1:42" ht="18">
      <c r="A98" s="184" t="s">
        <v>535</v>
      </c>
      <c r="B98" s="55">
        <f>B95/(B95+B97)*B93</f>
        <v>1.75</v>
      </c>
      <c r="C98" s="215" t="s">
        <v>1</v>
      </c>
      <c r="N98">
        <v>37</v>
      </c>
      <c r="O98">
        <f t="shared" si="96"/>
        <v>61.84</v>
      </c>
      <c r="P98" s="15">
        <f t="shared" si="72"/>
        <v>0.16170763260025872</v>
      </c>
      <c r="Q98" s="16">
        <f t="shared" si="73"/>
        <v>0.83829236739974133</v>
      </c>
      <c r="R98" s="16">
        <f t="shared" si="74"/>
        <v>3.6994367493368987</v>
      </c>
      <c r="S98" s="17">
        <f t="shared" si="75"/>
        <v>51.849718374668448</v>
      </c>
      <c r="T98" s="15">
        <f t="shared" si="76"/>
        <v>0.19404915912031045</v>
      </c>
      <c r="U98" s="16">
        <f t="shared" si="77"/>
        <v>0.8059508408796896</v>
      </c>
      <c r="V98" s="16">
        <f t="shared" si="78"/>
        <v>4.26805387932757</v>
      </c>
      <c r="W98" s="17">
        <f t="shared" si="79"/>
        <v>52.134026939663784</v>
      </c>
      <c r="X98" s="15">
        <f t="shared" si="80"/>
        <v>0.21021992238033635</v>
      </c>
      <c r="Y98" s="16">
        <f t="shared" si="81"/>
        <v>0.78978007761966362</v>
      </c>
      <c r="Z98" s="16">
        <f t="shared" si="82"/>
        <v>4.5309536668383181</v>
      </c>
      <c r="AA98" s="17">
        <f t="shared" si="83"/>
        <v>52.265476833419157</v>
      </c>
      <c r="AC98">
        <v>37</v>
      </c>
      <c r="AD98">
        <f t="shared" si="97"/>
        <v>12.219999999999999</v>
      </c>
      <c r="AE98" s="15">
        <f t="shared" si="84"/>
        <v>0.24439999999999998</v>
      </c>
      <c r="AF98" s="16">
        <f t="shared" si="85"/>
        <v>0.75560000000000005</v>
      </c>
      <c r="AG98" s="16">
        <f t="shared" si="86"/>
        <v>4.0747714033539273</v>
      </c>
      <c r="AH98" s="17">
        <f t="shared" si="87"/>
        <v>52.037385701676961</v>
      </c>
      <c r="AI98" s="15">
        <f t="shared" si="88"/>
        <v>0.22218181818181817</v>
      </c>
      <c r="AJ98" s="16">
        <f t="shared" si="89"/>
        <v>0.77781818181818185</v>
      </c>
      <c r="AK98" s="16">
        <f t="shared" si="90"/>
        <v>4.1945887827970791</v>
      </c>
      <c r="AL98" s="17">
        <f t="shared" si="91"/>
        <v>52.097294391398542</v>
      </c>
      <c r="AM98" s="15">
        <f t="shared" si="92"/>
        <v>0.18515151515151512</v>
      </c>
      <c r="AN98" s="16">
        <f t="shared" si="93"/>
        <v>0.81484848484848493</v>
      </c>
      <c r="AO98" s="16">
        <f t="shared" si="94"/>
        <v>4.394284415202331</v>
      </c>
      <c r="AP98" s="17">
        <f t="shared" si="95"/>
        <v>52.197142207601168</v>
      </c>
    </row>
    <row r="99" spans="1:42" ht="18">
      <c r="A99" s="73" t="s">
        <v>470</v>
      </c>
      <c r="B99" s="55">
        <f>B91/2*(1/B95+1/B97)</f>
        <v>9.0909090909090912E-2</v>
      </c>
      <c r="C99" s="42" t="s">
        <v>32</v>
      </c>
      <c r="N99">
        <v>38</v>
      </c>
      <c r="O99">
        <f t="shared" si="96"/>
        <v>62.16</v>
      </c>
      <c r="P99" s="15">
        <f t="shared" si="72"/>
        <v>0.16087516087516088</v>
      </c>
      <c r="Q99" s="16">
        <f t="shared" si="73"/>
        <v>0.83912483912483915</v>
      </c>
      <c r="R99" s="16">
        <f t="shared" si="74"/>
        <v>3.7031104992270043</v>
      </c>
      <c r="S99" s="17">
        <f t="shared" si="75"/>
        <v>51.851555249613504</v>
      </c>
      <c r="T99" s="15">
        <f t="shared" si="76"/>
        <v>0.19305019305019305</v>
      </c>
      <c r="U99" s="16">
        <f t="shared" si="77"/>
        <v>0.80694980694980689</v>
      </c>
      <c r="V99" s="16">
        <f t="shared" si="78"/>
        <v>4.2733440791693216</v>
      </c>
      <c r="W99" s="17">
        <f t="shared" si="79"/>
        <v>52.13667203958466</v>
      </c>
      <c r="X99" s="15">
        <f t="shared" si="80"/>
        <v>0.20913770913770915</v>
      </c>
      <c r="Y99" s="16">
        <f t="shared" si="81"/>
        <v>0.79086229086229087</v>
      </c>
      <c r="Z99" s="16">
        <f t="shared" si="82"/>
        <v>4.537162304152595</v>
      </c>
      <c r="AA99" s="17">
        <f t="shared" si="83"/>
        <v>52.268581152076294</v>
      </c>
      <c r="AC99">
        <v>38</v>
      </c>
      <c r="AD99">
        <f t="shared" si="97"/>
        <v>12.28</v>
      </c>
      <c r="AE99" s="15">
        <f t="shared" si="84"/>
        <v>0.24559999999999998</v>
      </c>
      <c r="AF99" s="16">
        <f t="shared" si="85"/>
        <v>0.75439999999999996</v>
      </c>
      <c r="AG99" s="16">
        <f t="shared" si="86"/>
        <v>4.0882753751103262</v>
      </c>
      <c r="AH99" s="17">
        <f t="shared" si="87"/>
        <v>52.044137687555164</v>
      </c>
      <c r="AI99" s="15">
        <f t="shared" si="88"/>
        <v>0.22327272727272726</v>
      </c>
      <c r="AJ99" s="16">
        <f t="shared" si="89"/>
        <v>0.77672727272727271</v>
      </c>
      <c r="AK99" s="16">
        <f t="shared" si="90"/>
        <v>4.2092722458477088</v>
      </c>
      <c r="AL99" s="17">
        <f t="shared" si="91"/>
        <v>52.104636122923857</v>
      </c>
      <c r="AM99" s="15">
        <f t="shared" si="92"/>
        <v>0.18606060606060604</v>
      </c>
      <c r="AN99" s="16">
        <f t="shared" si="93"/>
        <v>0.81393939393939396</v>
      </c>
      <c r="AO99" s="16">
        <f t="shared" si="94"/>
        <v>4.410933697076679</v>
      </c>
      <c r="AP99" s="17">
        <f t="shared" si="95"/>
        <v>52.205466848538336</v>
      </c>
    </row>
    <row r="100" spans="1:42" ht="18">
      <c r="A100" s="73" t="s">
        <v>471</v>
      </c>
      <c r="B100" s="47">
        <f>Design_Converter!B79</f>
        <v>0.1</v>
      </c>
      <c r="C100" s="42" t="s">
        <v>32</v>
      </c>
      <c r="N100">
        <v>39</v>
      </c>
      <c r="O100">
        <f t="shared" si="96"/>
        <v>62.480000000000004</v>
      </c>
      <c r="P100" s="15">
        <f t="shared" si="72"/>
        <v>0.16005121638924455</v>
      </c>
      <c r="Q100" s="16">
        <f t="shared" si="73"/>
        <v>0.83994878361075542</v>
      </c>
      <c r="R100" s="16">
        <f t="shared" si="74"/>
        <v>3.7067466178762372</v>
      </c>
      <c r="S100" s="17">
        <f t="shared" si="75"/>
        <v>51.853373308938117</v>
      </c>
      <c r="T100" s="15">
        <f t="shared" si="76"/>
        <v>0.19206145966709345</v>
      </c>
      <c r="U100" s="16">
        <f t="shared" si="77"/>
        <v>0.80793854033290657</v>
      </c>
      <c r="V100" s="16">
        <f t="shared" si="78"/>
        <v>4.2785800900242181</v>
      </c>
      <c r="W100" s="17">
        <f t="shared" si="79"/>
        <v>52.13929004501211</v>
      </c>
      <c r="X100" s="15">
        <f t="shared" si="80"/>
        <v>0.20806658130601791</v>
      </c>
      <c r="Y100" s="16">
        <f t="shared" si="81"/>
        <v>0.79193341869398215</v>
      </c>
      <c r="Z100" s="16">
        <f t="shared" si="82"/>
        <v>4.5433073446697998</v>
      </c>
      <c r="AA100" s="17">
        <f t="shared" si="83"/>
        <v>52.271653672334899</v>
      </c>
      <c r="AC100">
        <v>39</v>
      </c>
      <c r="AD100">
        <f t="shared" si="97"/>
        <v>12.34</v>
      </c>
      <c r="AE100" s="15">
        <f t="shared" si="84"/>
        <v>0.24679999999999999</v>
      </c>
      <c r="AF100" s="16">
        <f t="shared" si="85"/>
        <v>0.75319999999999998</v>
      </c>
      <c r="AG100" s="16">
        <f t="shared" si="86"/>
        <v>4.1017157987643422</v>
      </c>
      <c r="AH100" s="17">
        <f t="shared" si="87"/>
        <v>52.050857899382173</v>
      </c>
      <c r="AI100" s="15">
        <f t="shared" si="88"/>
        <v>0.22436363636363635</v>
      </c>
      <c r="AJ100" s="16">
        <f t="shared" si="89"/>
        <v>0.77563636363636368</v>
      </c>
      <c r="AK100" s="16">
        <f t="shared" si="90"/>
        <v>4.2238979378961723</v>
      </c>
      <c r="AL100" s="17">
        <f t="shared" si="91"/>
        <v>52.111948968948084</v>
      </c>
      <c r="AM100" s="15">
        <f t="shared" si="92"/>
        <v>0.18696969696969698</v>
      </c>
      <c r="AN100" s="16">
        <f t="shared" si="93"/>
        <v>0.81303030303030299</v>
      </c>
      <c r="AO100" s="16">
        <f t="shared" si="94"/>
        <v>4.4275348364492224</v>
      </c>
      <c r="AP100" s="17">
        <f t="shared" si="95"/>
        <v>52.213767418224613</v>
      </c>
    </row>
    <row r="101" spans="1:42" ht="15.75" thickBot="1">
      <c r="A101" s="74" t="s">
        <v>472</v>
      </c>
      <c r="B101" s="217">
        <f>2*B100*B95*B97/(B95+B97)</f>
        <v>2.2000000000000002</v>
      </c>
      <c r="C101" s="42" t="s">
        <v>103</v>
      </c>
      <c r="N101">
        <v>40</v>
      </c>
      <c r="O101">
        <f t="shared" si="96"/>
        <v>62.8</v>
      </c>
      <c r="P101" s="15">
        <f t="shared" si="72"/>
        <v>0.15923566878980894</v>
      </c>
      <c r="Q101" s="16">
        <f t="shared" si="73"/>
        <v>0.84076433121019112</v>
      </c>
      <c r="R101" s="16">
        <f t="shared" si="74"/>
        <v>3.7103456805392376</v>
      </c>
      <c r="S101" s="17">
        <f t="shared" si="75"/>
        <v>51.855172840269617</v>
      </c>
      <c r="T101" s="15">
        <f t="shared" si="76"/>
        <v>0.19108280254777071</v>
      </c>
      <c r="U101" s="16">
        <f t="shared" si="77"/>
        <v>0.80891719745222934</v>
      </c>
      <c r="V101" s="16">
        <f t="shared" si="78"/>
        <v>4.2837627402589371</v>
      </c>
      <c r="W101" s="17">
        <f t="shared" si="79"/>
        <v>52.141881370129468</v>
      </c>
      <c r="X101" s="15">
        <f t="shared" si="80"/>
        <v>0.2070063694267516</v>
      </c>
      <c r="Y101" s="16">
        <f t="shared" si="81"/>
        <v>0.79299363057324834</v>
      </c>
      <c r="Z101" s="16">
        <f t="shared" si="82"/>
        <v>4.5493897605702687</v>
      </c>
      <c r="AA101" s="17">
        <f t="shared" si="83"/>
        <v>52.274694880285132</v>
      </c>
      <c r="AC101">
        <v>40</v>
      </c>
      <c r="AD101">
        <f t="shared" si="97"/>
        <v>12.4</v>
      </c>
      <c r="AE101" s="15">
        <f t="shared" si="84"/>
        <v>0.248</v>
      </c>
      <c r="AF101" s="16">
        <f t="shared" si="85"/>
        <v>0.752</v>
      </c>
      <c r="AG101" s="16">
        <f t="shared" si="86"/>
        <v>4.1150926743159753</v>
      </c>
      <c r="AH101" s="17">
        <f t="shared" si="87"/>
        <v>52.057546337157987</v>
      </c>
      <c r="AI101" s="15">
        <f t="shared" si="88"/>
        <v>0.22545454545454546</v>
      </c>
      <c r="AJ101" s="16">
        <f t="shared" si="89"/>
        <v>0.77454545454545454</v>
      </c>
      <c r="AK101" s="16">
        <f t="shared" si="90"/>
        <v>4.2384658589424697</v>
      </c>
      <c r="AL101" s="17">
        <f t="shared" si="91"/>
        <v>52.119232929471238</v>
      </c>
      <c r="AM101" s="15">
        <f t="shared" si="92"/>
        <v>0.1878787878787879</v>
      </c>
      <c r="AN101" s="16">
        <f t="shared" si="93"/>
        <v>0.81212121212121213</v>
      </c>
      <c r="AO101" s="16">
        <f t="shared" si="94"/>
        <v>4.4440878333199612</v>
      </c>
      <c r="AP101" s="17">
        <f t="shared" si="95"/>
        <v>52.222043916659977</v>
      </c>
    </row>
    <row r="102" spans="1:42" ht="15.75" thickBot="1">
      <c r="N102">
        <v>41</v>
      </c>
      <c r="O102">
        <f t="shared" si="96"/>
        <v>63.120000000000005</v>
      </c>
      <c r="P102" s="15">
        <f t="shared" si="72"/>
        <v>0.15842839036755385</v>
      </c>
      <c r="Q102" s="16">
        <f t="shared" si="73"/>
        <v>0.84157160963244615</v>
      </c>
      <c r="R102" s="16">
        <f t="shared" si="74"/>
        <v>3.7139082508051464</v>
      </c>
      <c r="S102" s="17">
        <f t="shared" si="75"/>
        <v>51.856954125402574</v>
      </c>
      <c r="T102" s="15">
        <f t="shared" si="76"/>
        <v>0.19011406844106463</v>
      </c>
      <c r="U102" s="16">
        <f t="shared" si="77"/>
        <v>0.8098859315589354</v>
      </c>
      <c r="V102" s="16">
        <f t="shared" si="78"/>
        <v>4.2888928414418466</v>
      </c>
      <c r="W102" s="17">
        <f t="shared" si="79"/>
        <v>52.144446420720925</v>
      </c>
      <c r="X102" s="15">
        <f t="shared" si="80"/>
        <v>0.20595690747782</v>
      </c>
      <c r="Y102" s="16">
        <f t="shared" si="81"/>
        <v>0.79404309252217997</v>
      </c>
      <c r="Z102" s="16">
        <f t="shared" si="82"/>
        <v>4.5554105043196556</v>
      </c>
      <c r="AA102" s="17">
        <f t="shared" si="83"/>
        <v>52.277705252159826</v>
      </c>
      <c r="AC102">
        <v>41</v>
      </c>
      <c r="AD102">
        <f t="shared" si="97"/>
        <v>12.46</v>
      </c>
      <c r="AE102" s="15">
        <f t="shared" si="84"/>
        <v>0.2492</v>
      </c>
      <c r="AF102" s="16">
        <f t="shared" si="85"/>
        <v>0.75080000000000002</v>
      </c>
      <c r="AG102" s="16">
        <f t="shared" si="86"/>
        <v>4.1284060017652253</v>
      </c>
      <c r="AH102" s="17">
        <f t="shared" si="87"/>
        <v>52.064203000882614</v>
      </c>
      <c r="AI102" s="15">
        <f t="shared" si="88"/>
        <v>0.22654545454545455</v>
      </c>
      <c r="AJ102" s="16">
        <f t="shared" si="89"/>
        <v>0.77345454545454539</v>
      </c>
      <c r="AK102" s="16">
        <f t="shared" si="90"/>
        <v>4.2529760089866002</v>
      </c>
      <c r="AL102" s="17">
        <f t="shared" si="91"/>
        <v>52.126488004493297</v>
      </c>
      <c r="AM102" s="15">
        <f t="shared" si="92"/>
        <v>0.18878787878787881</v>
      </c>
      <c r="AN102" s="16">
        <f t="shared" si="93"/>
        <v>0.81121212121212116</v>
      </c>
      <c r="AO102" s="16">
        <f t="shared" si="94"/>
        <v>4.4605926876888926</v>
      </c>
      <c r="AP102" s="17">
        <f t="shared" si="95"/>
        <v>52.230296343844444</v>
      </c>
    </row>
    <row r="103" spans="1:42">
      <c r="A103" s="286" t="s">
        <v>464</v>
      </c>
      <c r="B103" s="287"/>
      <c r="C103" s="288"/>
      <c r="N103">
        <v>42</v>
      </c>
      <c r="O103">
        <f t="shared" si="96"/>
        <v>63.44</v>
      </c>
      <c r="P103" s="15">
        <f t="shared" si="72"/>
        <v>0.15762925598991173</v>
      </c>
      <c r="Q103" s="16">
        <f t="shared" si="73"/>
        <v>0.84237074401008827</v>
      </c>
      <c r="R103" s="16">
        <f t="shared" si="74"/>
        <v>3.7174348808918278</v>
      </c>
      <c r="S103" s="17">
        <f t="shared" si="75"/>
        <v>51.858717440445915</v>
      </c>
      <c r="T103" s="15">
        <f t="shared" si="76"/>
        <v>0.18915510718789408</v>
      </c>
      <c r="U103" s="16">
        <f t="shared" si="77"/>
        <v>0.81084489281210592</v>
      </c>
      <c r="V103" s="16">
        <f t="shared" si="78"/>
        <v>4.2939711887666689</v>
      </c>
      <c r="W103" s="17">
        <f t="shared" si="79"/>
        <v>52.146985594383338</v>
      </c>
      <c r="X103" s="15">
        <f t="shared" si="80"/>
        <v>0.20491803278688525</v>
      </c>
      <c r="Y103" s="16">
        <f t="shared" si="81"/>
        <v>0.79508196721311475</v>
      </c>
      <c r="Z103" s="16">
        <f t="shared" si="82"/>
        <v>4.5613705091661476</v>
      </c>
      <c r="AA103" s="17">
        <f t="shared" si="83"/>
        <v>52.280685254583076</v>
      </c>
      <c r="AC103">
        <v>42</v>
      </c>
      <c r="AD103">
        <f t="shared" si="97"/>
        <v>12.52</v>
      </c>
      <c r="AE103" s="15">
        <f t="shared" si="84"/>
        <v>0.25040000000000001</v>
      </c>
      <c r="AF103" s="16">
        <f t="shared" si="85"/>
        <v>0.74960000000000004</v>
      </c>
      <c r="AG103" s="16">
        <f t="shared" si="86"/>
        <v>4.1416557811120924</v>
      </c>
      <c r="AH103" s="17">
        <f t="shared" si="87"/>
        <v>52.070827890556046</v>
      </c>
      <c r="AI103" s="15">
        <f t="shared" si="88"/>
        <v>0.22763636363636364</v>
      </c>
      <c r="AJ103" s="16">
        <f t="shared" si="89"/>
        <v>0.77236363636363636</v>
      </c>
      <c r="AK103" s="16">
        <f t="shared" si="90"/>
        <v>4.2674283880285655</v>
      </c>
      <c r="AL103" s="17">
        <f t="shared" si="91"/>
        <v>52.133714194014281</v>
      </c>
      <c r="AM103" s="15">
        <f t="shared" si="92"/>
        <v>0.1896969696969697</v>
      </c>
      <c r="AN103" s="16">
        <f t="shared" si="93"/>
        <v>0.8103030303030303</v>
      </c>
      <c r="AO103" s="16">
        <f t="shared" si="94"/>
        <v>4.4770493995560194</v>
      </c>
      <c r="AP103" s="17">
        <f t="shared" si="95"/>
        <v>52.238524699778011</v>
      </c>
    </row>
    <row r="104" spans="1:42">
      <c r="A104" s="73" t="s">
        <v>174</v>
      </c>
      <c r="B104" s="47">
        <f>Design_Converter!B82*(10^-3)</f>
        <v>1E-3</v>
      </c>
      <c r="C104" s="42" t="s">
        <v>23</v>
      </c>
      <c r="N104">
        <v>43</v>
      </c>
      <c r="O104">
        <f t="shared" si="96"/>
        <v>63.76</v>
      </c>
      <c r="P104" s="15">
        <f t="shared" si="72"/>
        <v>0.15683814303638646</v>
      </c>
      <c r="Q104" s="16">
        <f t="shared" si="73"/>
        <v>0.84316185696361357</v>
      </c>
      <c r="R104" s="16">
        <f t="shared" si="74"/>
        <v>3.7209261119312158</v>
      </c>
      <c r="S104" s="17">
        <f t="shared" si="75"/>
        <v>51.86046305596561</v>
      </c>
      <c r="T104" s="15">
        <f t="shared" si="76"/>
        <v>0.18820577164366376</v>
      </c>
      <c r="U104" s="16">
        <f t="shared" si="77"/>
        <v>0.81179422835633619</v>
      </c>
      <c r="V104" s="16">
        <f t="shared" si="78"/>
        <v>4.2989985614633879</v>
      </c>
      <c r="W104" s="17">
        <f t="shared" si="79"/>
        <v>52.149499280731696</v>
      </c>
      <c r="X104" s="15">
        <f t="shared" si="80"/>
        <v>0.20388958594730239</v>
      </c>
      <c r="Y104" s="16">
        <f t="shared" si="81"/>
        <v>0.79611041405269756</v>
      </c>
      <c r="Z104" s="16">
        <f t="shared" si="82"/>
        <v>4.5672706896227133</v>
      </c>
      <c r="AA104" s="17">
        <f t="shared" si="83"/>
        <v>52.283635344811358</v>
      </c>
      <c r="AC104">
        <v>43</v>
      </c>
      <c r="AD104">
        <f t="shared" si="97"/>
        <v>12.58</v>
      </c>
      <c r="AE104" s="15">
        <f t="shared" si="84"/>
        <v>0.25159999999999999</v>
      </c>
      <c r="AF104" s="16">
        <f t="shared" si="85"/>
        <v>0.74839999999999995</v>
      </c>
      <c r="AG104" s="16">
        <f t="shared" si="86"/>
        <v>4.1548420123565757</v>
      </c>
      <c r="AH104" s="17">
        <f t="shared" si="87"/>
        <v>52.077421006178291</v>
      </c>
      <c r="AI104" s="15">
        <f t="shared" si="88"/>
        <v>0.22872727272727272</v>
      </c>
      <c r="AJ104" s="16">
        <f t="shared" si="89"/>
        <v>0.77127272727272733</v>
      </c>
      <c r="AK104" s="16">
        <f t="shared" si="90"/>
        <v>4.281822996068362</v>
      </c>
      <c r="AL104" s="17">
        <f t="shared" si="91"/>
        <v>52.140911498034178</v>
      </c>
      <c r="AM104" s="15">
        <f t="shared" si="92"/>
        <v>0.19060606060606061</v>
      </c>
      <c r="AN104" s="16">
        <f t="shared" si="93"/>
        <v>0.80939393939393933</v>
      </c>
      <c r="AO104" s="16">
        <f t="shared" si="94"/>
        <v>4.4934579689213408</v>
      </c>
      <c r="AP104" s="17">
        <f t="shared" si="95"/>
        <v>52.246728984460674</v>
      </c>
    </row>
    <row r="105" spans="1:42">
      <c r="A105" s="73" t="s">
        <v>397</v>
      </c>
      <c r="B105" s="48">
        <f>(MAX(I_Channel_Design,B28)*Rcs*40+1)/2+1</f>
        <v>1.62</v>
      </c>
      <c r="C105" s="42" t="s">
        <v>1</v>
      </c>
      <c r="N105">
        <v>44</v>
      </c>
      <c r="O105">
        <f t="shared" si="96"/>
        <v>64.08</v>
      </c>
      <c r="P105" s="15">
        <f t="shared" si="72"/>
        <v>0.1560549313358302</v>
      </c>
      <c r="Q105" s="16">
        <f t="shared" si="73"/>
        <v>0.84394506866416985</v>
      </c>
      <c r="R105" s="16">
        <f t="shared" si="74"/>
        <v>3.7243824742461151</v>
      </c>
      <c r="S105" s="17">
        <f t="shared" si="75"/>
        <v>51.862191237123056</v>
      </c>
      <c r="T105" s="15">
        <f t="shared" si="76"/>
        <v>0.18726591760299627</v>
      </c>
      <c r="U105" s="16">
        <f t="shared" si="77"/>
        <v>0.81273408239700373</v>
      </c>
      <c r="V105" s="16">
        <f t="shared" si="78"/>
        <v>4.3039757231968432</v>
      </c>
      <c r="W105" s="17">
        <f t="shared" si="79"/>
        <v>52.151987861598421</v>
      </c>
      <c r="X105" s="15">
        <f t="shared" si="80"/>
        <v>0.20287141073657927</v>
      </c>
      <c r="Y105" s="16">
        <f t="shared" si="81"/>
        <v>0.79712858926342078</v>
      </c>
      <c r="Z105" s="16">
        <f t="shared" si="82"/>
        <v>4.5731119419348936</v>
      </c>
      <c r="AA105" s="17">
        <f t="shared" si="83"/>
        <v>52.286555970967449</v>
      </c>
      <c r="AC105">
        <v>44</v>
      </c>
      <c r="AD105">
        <f t="shared" si="97"/>
        <v>12.64</v>
      </c>
      <c r="AE105" s="15">
        <f t="shared" si="84"/>
        <v>0.25280000000000002</v>
      </c>
      <c r="AF105" s="16">
        <f t="shared" si="85"/>
        <v>0.74719999999999998</v>
      </c>
      <c r="AG105" s="16">
        <f t="shared" si="86"/>
        <v>4.167964695498676</v>
      </c>
      <c r="AH105" s="17">
        <f t="shared" si="87"/>
        <v>52.083982347749341</v>
      </c>
      <c r="AI105" s="15">
        <f t="shared" si="88"/>
        <v>0.22981818181818184</v>
      </c>
      <c r="AJ105" s="16">
        <f t="shared" si="89"/>
        <v>0.77018181818181819</v>
      </c>
      <c r="AK105" s="16">
        <f t="shared" si="90"/>
        <v>4.2961598331059943</v>
      </c>
      <c r="AL105" s="17">
        <f t="shared" si="91"/>
        <v>52.148079916552994</v>
      </c>
      <c r="AM105" s="15">
        <f t="shared" si="92"/>
        <v>0.19151515151515153</v>
      </c>
      <c r="AN105" s="16">
        <f t="shared" si="93"/>
        <v>0.80848484848484847</v>
      </c>
      <c r="AO105" s="16">
        <f t="shared" si="94"/>
        <v>4.5098183957848565</v>
      </c>
      <c r="AP105" s="17">
        <f t="shared" si="95"/>
        <v>52.254909197892431</v>
      </c>
    </row>
    <row r="106" spans="1:42">
      <c r="A106" s="73" t="s">
        <v>104</v>
      </c>
      <c r="B106" s="48">
        <f>IF(B88=0,0.1,(Constants!C33*Calculations!B104/B105)*(10^9))</f>
        <v>0.1</v>
      </c>
      <c r="C106" s="42" t="s">
        <v>40</v>
      </c>
      <c r="N106">
        <v>45</v>
      </c>
      <c r="O106">
        <f t="shared" si="96"/>
        <v>64.400000000000006</v>
      </c>
      <c r="P106" s="15">
        <f t="shared" si="72"/>
        <v>0.15527950310559005</v>
      </c>
      <c r="Q106" s="16">
        <f t="shared" si="73"/>
        <v>0.84472049689440998</v>
      </c>
      <c r="R106" s="16">
        <f t="shared" si="74"/>
        <v>3.727804487618755</v>
      </c>
      <c r="S106" s="17">
        <f t="shared" si="75"/>
        <v>51.863902243809378</v>
      </c>
      <c r="T106" s="15">
        <f t="shared" si="76"/>
        <v>0.18633540372670807</v>
      </c>
      <c r="U106" s="16">
        <f t="shared" si="77"/>
        <v>0.81366459627329191</v>
      </c>
      <c r="V106" s="16">
        <f t="shared" si="78"/>
        <v>4.3089034224534437</v>
      </c>
      <c r="W106" s="17">
        <f t="shared" si="79"/>
        <v>52.15445171122672</v>
      </c>
      <c r="X106" s="15">
        <f t="shared" si="80"/>
        <v>0.20186335403726707</v>
      </c>
      <c r="Y106" s="16">
        <f t="shared" si="81"/>
        <v>0.79813664596273293</v>
      </c>
      <c r="Z106" s="16">
        <f t="shared" si="82"/>
        <v>4.5788951445346555</v>
      </c>
      <c r="AA106" s="17">
        <f t="shared" si="83"/>
        <v>52.289447572267328</v>
      </c>
      <c r="AC106">
        <v>45</v>
      </c>
      <c r="AD106">
        <f t="shared" si="97"/>
        <v>12.7</v>
      </c>
      <c r="AE106" s="15">
        <f t="shared" si="84"/>
        <v>0.254</v>
      </c>
      <c r="AF106" s="16">
        <f t="shared" si="85"/>
        <v>0.746</v>
      </c>
      <c r="AG106" s="16">
        <f t="shared" si="86"/>
        <v>4.1810238305383933</v>
      </c>
      <c r="AH106" s="17">
        <f t="shared" si="87"/>
        <v>52.090511915269197</v>
      </c>
      <c r="AI106" s="15">
        <f t="shared" si="88"/>
        <v>0.2309090909090909</v>
      </c>
      <c r="AJ106" s="16">
        <f t="shared" si="89"/>
        <v>0.76909090909090905</v>
      </c>
      <c r="AK106" s="16">
        <f t="shared" si="90"/>
        <v>4.3104388991414577</v>
      </c>
      <c r="AL106" s="17">
        <f t="shared" si="91"/>
        <v>52.15521944957073</v>
      </c>
      <c r="AM106" s="15">
        <f t="shared" si="92"/>
        <v>0.19242424242424241</v>
      </c>
      <c r="AN106" s="16">
        <f t="shared" si="93"/>
        <v>0.80757575757575761</v>
      </c>
      <c r="AO106" s="16">
        <f t="shared" si="94"/>
        <v>4.5261306801465668</v>
      </c>
      <c r="AP106" s="17">
        <f t="shared" si="95"/>
        <v>52.263065340073283</v>
      </c>
    </row>
    <row r="107" spans="1:42">
      <c r="A107" s="73" t="s">
        <v>155</v>
      </c>
      <c r="B107" s="47">
        <f>Design_Converter!B84</f>
        <v>0.1</v>
      </c>
      <c r="C107" s="42" t="s">
        <v>40</v>
      </c>
      <c r="N107">
        <v>46</v>
      </c>
      <c r="O107">
        <f t="shared" si="96"/>
        <v>64.72</v>
      </c>
      <c r="P107" s="15">
        <f t="shared" si="72"/>
        <v>0.15451174289245984</v>
      </c>
      <c r="Q107" s="16">
        <f t="shared" si="73"/>
        <v>0.84548825710754016</v>
      </c>
      <c r="R107" s="16">
        <f t="shared" si="74"/>
        <v>3.7311926615513689</v>
      </c>
      <c r="S107" s="17">
        <f t="shared" si="75"/>
        <v>51.865596330775688</v>
      </c>
      <c r="T107" s="15">
        <f t="shared" si="76"/>
        <v>0.18541409147095181</v>
      </c>
      <c r="U107" s="16">
        <f t="shared" si="77"/>
        <v>0.81458590852904822</v>
      </c>
      <c r="V107" s="16">
        <f t="shared" si="78"/>
        <v>4.3137823929164076</v>
      </c>
      <c r="W107" s="17">
        <f t="shared" si="79"/>
        <v>52.156891196458204</v>
      </c>
      <c r="X107" s="15">
        <f t="shared" si="80"/>
        <v>0.20086526576019778</v>
      </c>
      <c r="Y107" s="16">
        <f t="shared" si="81"/>
        <v>0.79913473423980219</v>
      </c>
      <c r="Z107" s="16">
        <f t="shared" si="82"/>
        <v>4.5846211584807719</v>
      </c>
      <c r="AA107" s="17">
        <f t="shared" si="83"/>
        <v>52.292310579240386</v>
      </c>
      <c r="AC107">
        <v>46</v>
      </c>
      <c r="AD107">
        <f t="shared" si="97"/>
        <v>12.76</v>
      </c>
      <c r="AE107" s="15">
        <f t="shared" si="84"/>
        <v>0.25519999999999998</v>
      </c>
      <c r="AF107" s="16">
        <f t="shared" si="85"/>
        <v>0.74480000000000002</v>
      </c>
      <c r="AG107" s="16">
        <f t="shared" si="86"/>
        <v>4.1940194174757286</v>
      </c>
      <c r="AH107" s="17">
        <f t="shared" si="87"/>
        <v>52.097009708737865</v>
      </c>
      <c r="AI107" s="15">
        <f t="shared" si="88"/>
        <v>0.23199999999999998</v>
      </c>
      <c r="AJ107" s="16">
        <f t="shared" si="89"/>
        <v>0.76800000000000002</v>
      </c>
      <c r="AK107" s="16">
        <f t="shared" si="90"/>
        <v>4.3246601941747569</v>
      </c>
      <c r="AL107" s="17">
        <f t="shared" si="91"/>
        <v>52.162330097087377</v>
      </c>
      <c r="AM107" s="15">
        <f t="shared" si="92"/>
        <v>0.19333333333333333</v>
      </c>
      <c r="AN107" s="16">
        <f t="shared" si="93"/>
        <v>0.80666666666666664</v>
      </c>
      <c r="AO107" s="16">
        <f t="shared" si="94"/>
        <v>4.5423948220064725</v>
      </c>
      <c r="AP107" s="17">
        <f t="shared" si="95"/>
        <v>52.271197411003236</v>
      </c>
    </row>
    <row r="108" spans="1:42" ht="15.75" thickBot="1">
      <c r="A108" s="74" t="s">
        <v>156</v>
      </c>
      <c r="B108" s="209">
        <f>1000*(B105*(B107*10^-9)/(Constants!C33))</f>
        <v>3.2400000000000011E-3</v>
      </c>
      <c r="C108" s="75" t="s">
        <v>103</v>
      </c>
      <c r="N108">
        <v>47</v>
      </c>
      <c r="O108">
        <f t="shared" si="96"/>
        <v>65.040000000000006</v>
      </c>
      <c r="P108" s="15">
        <f t="shared" si="72"/>
        <v>0.15375153751537513</v>
      </c>
      <c r="Q108" s="16">
        <f t="shared" si="73"/>
        <v>0.84624846248462493</v>
      </c>
      <c r="R108" s="16">
        <f t="shared" si="74"/>
        <v>3.7345474955190854</v>
      </c>
      <c r="S108" s="17">
        <f t="shared" si="75"/>
        <v>51.86727374775954</v>
      </c>
      <c r="T108" s="15">
        <f t="shared" si="76"/>
        <v>0.18450184501845016</v>
      </c>
      <c r="U108" s="16">
        <f t="shared" si="77"/>
        <v>0.81549815498154987</v>
      </c>
      <c r="V108" s="16">
        <f t="shared" si="78"/>
        <v>4.3186133538299192</v>
      </c>
      <c r="W108" s="17">
        <f t="shared" si="79"/>
        <v>52.159306676914959</v>
      </c>
      <c r="X108" s="15">
        <f t="shared" si="80"/>
        <v>0.19987699876998768</v>
      </c>
      <c r="Y108" s="16">
        <f t="shared" si="81"/>
        <v>0.80012300123001234</v>
      </c>
      <c r="Z108" s="16">
        <f t="shared" si="82"/>
        <v>4.5902908278862142</v>
      </c>
      <c r="AA108" s="17">
        <f t="shared" si="83"/>
        <v>52.295145413943104</v>
      </c>
      <c r="AC108">
        <v>47</v>
      </c>
      <c r="AD108">
        <f t="shared" si="97"/>
        <v>12.82</v>
      </c>
      <c r="AE108" s="15">
        <f t="shared" si="84"/>
        <v>0.25640000000000002</v>
      </c>
      <c r="AF108" s="16">
        <f t="shared" si="85"/>
        <v>0.74360000000000004</v>
      </c>
      <c r="AG108" s="16">
        <f t="shared" si="86"/>
        <v>4.20695145631068</v>
      </c>
      <c r="AH108" s="17">
        <f t="shared" si="87"/>
        <v>52.103475728155338</v>
      </c>
      <c r="AI108" s="15">
        <f t="shared" si="88"/>
        <v>0.2330909090909091</v>
      </c>
      <c r="AJ108" s="16">
        <f t="shared" si="89"/>
        <v>0.76690909090909087</v>
      </c>
      <c r="AK108" s="16">
        <f t="shared" si="90"/>
        <v>4.33882371820589</v>
      </c>
      <c r="AL108" s="17">
        <f t="shared" si="91"/>
        <v>52.169411859102944</v>
      </c>
      <c r="AM108" s="15">
        <f t="shared" si="92"/>
        <v>0.19424242424242424</v>
      </c>
      <c r="AN108" s="16">
        <f t="shared" si="93"/>
        <v>0.80575757575757578</v>
      </c>
      <c r="AO108" s="16">
        <f t="shared" si="94"/>
        <v>4.5586108213645726</v>
      </c>
      <c r="AP108" s="17">
        <f t="shared" si="95"/>
        <v>52.279305410682284</v>
      </c>
    </row>
    <row r="109" spans="1:42">
      <c r="A109"/>
      <c r="B109"/>
      <c r="C109"/>
      <c r="N109">
        <v>48</v>
      </c>
      <c r="O109">
        <f t="shared" si="96"/>
        <v>65.36</v>
      </c>
      <c r="P109" s="15">
        <f t="shared" si="72"/>
        <v>0.15299877600979192</v>
      </c>
      <c r="Q109" s="16">
        <f t="shared" si="73"/>
        <v>0.84700122399020805</v>
      </c>
      <c r="R109" s="16">
        <f t="shared" si="74"/>
        <v>3.737869479215393</v>
      </c>
      <c r="S109" s="17">
        <f t="shared" si="75"/>
        <v>51.868934739607695</v>
      </c>
      <c r="T109" s="15">
        <f t="shared" si="76"/>
        <v>0.18359853121175032</v>
      </c>
      <c r="U109" s="16">
        <f t="shared" si="77"/>
        <v>0.81640146878824971</v>
      </c>
      <c r="V109" s="16">
        <f t="shared" si="78"/>
        <v>4.3233970103526023</v>
      </c>
      <c r="W109" s="17">
        <f t="shared" si="79"/>
        <v>52.161698505176304</v>
      </c>
      <c r="X109" s="15">
        <f t="shared" si="80"/>
        <v>0.19889840881272949</v>
      </c>
      <c r="Y109" s="16">
        <f t="shared" si="81"/>
        <v>0.80110159118727053</v>
      </c>
      <c r="Z109" s="16">
        <f t="shared" si="82"/>
        <v>4.595904980332973</v>
      </c>
      <c r="AA109" s="17">
        <f t="shared" si="83"/>
        <v>52.297952490166487</v>
      </c>
      <c r="AC109">
        <v>48</v>
      </c>
      <c r="AD109">
        <f t="shared" si="97"/>
        <v>12.879999999999999</v>
      </c>
      <c r="AE109" s="15">
        <f t="shared" si="84"/>
        <v>0.2576</v>
      </c>
      <c r="AF109" s="16">
        <f t="shared" si="85"/>
        <v>0.74239999999999995</v>
      </c>
      <c r="AG109" s="16">
        <f t="shared" si="86"/>
        <v>4.2198199470432485</v>
      </c>
      <c r="AH109" s="17">
        <f t="shared" si="87"/>
        <v>52.109909973521624</v>
      </c>
      <c r="AI109" s="15">
        <f t="shared" si="88"/>
        <v>0.23418181818181816</v>
      </c>
      <c r="AJ109" s="16">
        <f t="shared" si="89"/>
        <v>0.76581818181818184</v>
      </c>
      <c r="AK109" s="16">
        <f t="shared" si="90"/>
        <v>4.3529294712348552</v>
      </c>
      <c r="AL109" s="17">
        <f t="shared" si="91"/>
        <v>52.176464735617429</v>
      </c>
      <c r="AM109" s="15">
        <f t="shared" si="92"/>
        <v>0.19515151515151513</v>
      </c>
      <c r="AN109" s="16">
        <f t="shared" si="93"/>
        <v>0.80484848484848492</v>
      </c>
      <c r="AO109" s="16">
        <f t="shared" si="94"/>
        <v>4.5747786782208664</v>
      </c>
      <c r="AP109" s="17">
        <f t="shared" si="95"/>
        <v>52.287389339110433</v>
      </c>
    </row>
    <row r="110" spans="1:42">
      <c r="A110"/>
      <c r="B110"/>
      <c r="C110"/>
      <c r="N110">
        <v>49</v>
      </c>
      <c r="O110">
        <f t="shared" si="96"/>
        <v>65.680000000000007</v>
      </c>
      <c r="P110" s="15">
        <f t="shared" si="72"/>
        <v>0.15225334957369061</v>
      </c>
      <c r="Q110" s="16">
        <f t="shared" si="73"/>
        <v>0.84774665042630937</v>
      </c>
      <c r="R110" s="16">
        <f t="shared" si="74"/>
        <v>3.7411590927904208</v>
      </c>
      <c r="S110" s="17">
        <f t="shared" si="75"/>
        <v>51.870579546395213</v>
      </c>
      <c r="T110" s="15">
        <f t="shared" si="76"/>
        <v>0.18270401948842874</v>
      </c>
      <c r="U110" s="16">
        <f t="shared" si="77"/>
        <v>0.81729598051157126</v>
      </c>
      <c r="V110" s="16">
        <f t="shared" si="78"/>
        <v>4.3281340539006425</v>
      </c>
      <c r="W110" s="17">
        <f t="shared" si="79"/>
        <v>52.16406702695032</v>
      </c>
      <c r="X110" s="15">
        <f t="shared" si="80"/>
        <v>0.19792935444579779</v>
      </c>
      <c r="Y110" s="16">
        <f t="shared" si="81"/>
        <v>0.80207064555420216</v>
      </c>
      <c r="Z110" s="16">
        <f t="shared" si="82"/>
        <v>4.6014644272747702</v>
      </c>
      <c r="AA110" s="17">
        <f t="shared" si="83"/>
        <v>52.300732213637389</v>
      </c>
      <c r="AC110">
        <v>49</v>
      </c>
      <c r="AD110">
        <f t="shared" si="97"/>
        <v>12.94</v>
      </c>
      <c r="AE110" s="15">
        <f t="shared" si="84"/>
        <v>0.25879999999999997</v>
      </c>
      <c r="AF110" s="16">
        <f t="shared" si="85"/>
        <v>0.74120000000000008</v>
      </c>
      <c r="AG110" s="16">
        <f t="shared" si="86"/>
        <v>4.2326248896734331</v>
      </c>
      <c r="AH110" s="17">
        <f t="shared" si="87"/>
        <v>52.116312444836716</v>
      </c>
      <c r="AI110" s="15">
        <f t="shared" si="88"/>
        <v>0.23527272727272727</v>
      </c>
      <c r="AJ110" s="16">
        <f t="shared" si="89"/>
        <v>0.7647272727272727</v>
      </c>
      <c r="AK110" s="16">
        <f t="shared" si="90"/>
        <v>4.3669774532616543</v>
      </c>
      <c r="AL110" s="17">
        <f t="shared" si="91"/>
        <v>52.183488726630827</v>
      </c>
      <c r="AM110" s="15">
        <f t="shared" si="92"/>
        <v>0.19606060606060605</v>
      </c>
      <c r="AN110" s="16">
        <f t="shared" si="93"/>
        <v>0.80393939393939395</v>
      </c>
      <c r="AO110" s="16">
        <f t="shared" si="94"/>
        <v>4.5908983925753555</v>
      </c>
      <c r="AP110" s="17">
        <f t="shared" si="95"/>
        <v>52.295449196287677</v>
      </c>
    </row>
    <row r="111" spans="1:42">
      <c r="A111"/>
      <c r="B111"/>
      <c r="C111"/>
      <c r="N111">
        <v>50</v>
      </c>
      <c r="O111">
        <f t="shared" si="96"/>
        <v>66</v>
      </c>
      <c r="P111" s="15">
        <f t="shared" si="72"/>
        <v>0.15151515151515152</v>
      </c>
      <c r="Q111" s="16">
        <f t="shared" si="73"/>
        <v>0.84848484848484851</v>
      </c>
      <c r="R111" s="16">
        <f t="shared" si="74"/>
        <v>3.7444168070822972</v>
      </c>
      <c r="S111" s="17">
        <f t="shared" si="75"/>
        <v>51.872208403541151</v>
      </c>
      <c r="T111" s="15">
        <f t="shared" si="76"/>
        <v>0.18181818181818182</v>
      </c>
      <c r="U111" s="16">
        <f t="shared" si="77"/>
        <v>0.81818181818181812</v>
      </c>
      <c r="V111" s="16">
        <f t="shared" si="78"/>
        <v>4.332825162480944</v>
      </c>
      <c r="W111" s="17">
        <f t="shared" si="79"/>
        <v>52.166412581240472</v>
      </c>
      <c r="X111" s="15">
        <f t="shared" si="80"/>
        <v>0.19696969696969696</v>
      </c>
      <c r="Y111" s="16">
        <f t="shared" si="81"/>
        <v>0.80303030303030298</v>
      </c>
      <c r="Z111" s="16">
        <f t="shared" si="82"/>
        <v>4.60696996442804</v>
      </c>
      <c r="AA111" s="17">
        <f t="shared" si="83"/>
        <v>52.303484982214023</v>
      </c>
      <c r="AC111">
        <v>50</v>
      </c>
      <c r="AD111">
        <f t="shared" si="97"/>
        <v>13</v>
      </c>
      <c r="AE111" s="15">
        <f t="shared" si="84"/>
        <v>0.26</v>
      </c>
      <c r="AF111" s="16">
        <f t="shared" si="85"/>
        <v>0.74</v>
      </c>
      <c r="AG111" s="16">
        <f t="shared" si="86"/>
        <v>4.2453662842012356</v>
      </c>
      <c r="AH111" s="17">
        <f t="shared" si="87"/>
        <v>52.12268314210062</v>
      </c>
      <c r="AI111" s="15">
        <f t="shared" si="88"/>
        <v>0.23636363636363636</v>
      </c>
      <c r="AJ111" s="16">
        <f t="shared" si="89"/>
        <v>0.76363636363636367</v>
      </c>
      <c r="AK111" s="16">
        <f t="shared" si="90"/>
        <v>4.3809676642862874</v>
      </c>
      <c r="AL111" s="17">
        <f t="shared" si="91"/>
        <v>52.190483832143144</v>
      </c>
      <c r="AM111" s="15">
        <f t="shared" si="92"/>
        <v>0.19696969696969696</v>
      </c>
      <c r="AN111" s="16">
        <f t="shared" si="93"/>
        <v>0.80303030303030298</v>
      </c>
      <c r="AO111" s="16">
        <f t="shared" si="94"/>
        <v>4.60696996442804</v>
      </c>
      <c r="AP111" s="17">
        <f t="shared" si="95"/>
        <v>52.303484982214023</v>
      </c>
    </row>
    <row r="112" spans="1:42">
      <c r="A112"/>
      <c r="B112"/>
      <c r="C112"/>
    </row>
    <row r="113" spans="1:5" ht="15.75" thickBot="1">
      <c r="A113"/>
      <c r="B113"/>
      <c r="C113"/>
    </row>
    <row r="114" spans="1:5">
      <c r="A114" s="286" t="s">
        <v>143</v>
      </c>
      <c r="B114" s="287"/>
      <c r="C114" s="288"/>
    </row>
    <row r="115" spans="1:5">
      <c r="A115" s="73" t="s">
        <v>144</v>
      </c>
      <c r="B115" s="47">
        <f>IF(Design_Converter!B90=Lists!A2,0,1)</f>
        <v>1</v>
      </c>
      <c r="C115" s="42"/>
      <c r="E115" s="36" t="s">
        <v>184</v>
      </c>
    </row>
    <row r="116" spans="1:5">
      <c r="A116" s="73" t="s">
        <v>148</v>
      </c>
      <c r="B116" s="47">
        <f>Design_Converter!B91</f>
        <v>7.5</v>
      </c>
      <c r="C116" s="42" t="s">
        <v>1</v>
      </c>
    </row>
    <row r="117" spans="1:5">
      <c r="A117" s="73" t="s">
        <v>149</v>
      </c>
      <c r="B117" s="47">
        <f>Design_Converter!B92</f>
        <v>47</v>
      </c>
      <c r="C117" s="223" t="s">
        <v>95</v>
      </c>
    </row>
    <row r="118" spans="1:5">
      <c r="A118" s="73" t="s">
        <v>150</v>
      </c>
      <c r="B118" s="48">
        <f>((B116-Constants!C11)/(Constants!C11))*B117</f>
        <v>94</v>
      </c>
      <c r="C118" s="223" t="s">
        <v>95</v>
      </c>
    </row>
    <row r="119" spans="1:5">
      <c r="A119" s="73" t="s">
        <v>151</v>
      </c>
      <c r="B119" s="47">
        <f>Design_Converter!B94</f>
        <v>100</v>
      </c>
      <c r="C119" s="223" t="s">
        <v>95</v>
      </c>
    </row>
    <row r="120" spans="1:5">
      <c r="A120" s="73" t="s">
        <v>203</v>
      </c>
      <c r="B120" s="47">
        <f>IF(Design_Converter!B95=Lists!C2,0,1)</f>
        <v>1</v>
      </c>
      <c r="C120" s="42"/>
      <c r="E120" s="36" t="s">
        <v>202</v>
      </c>
    </row>
    <row r="121" spans="1:5">
      <c r="A121" s="73" t="s">
        <v>205</v>
      </c>
      <c r="B121" s="47">
        <f>Design_Converter!B96</f>
        <v>4</v>
      </c>
      <c r="C121" s="215" t="s">
        <v>1</v>
      </c>
    </row>
    <row r="122" spans="1:5">
      <c r="A122" s="73" t="s">
        <v>206</v>
      </c>
      <c r="B122" s="48">
        <f>((B121/Constants!C13)-(B119*1000))/(1+(B119/B117))/1000</f>
        <v>19.183673469387756</v>
      </c>
      <c r="C122" s="223" t="s">
        <v>95</v>
      </c>
    </row>
    <row r="123" spans="1:5">
      <c r="A123" s="73" t="s">
        <v>207</v>
      </c>
      <c r="B123" s="47">
        <f>Design_Converter!B98</f>
        <v>22</v>
      </c>
      <c r="C123" s="223" t="s">
        <v>95</v>
      </c>
    </row>
    <row r="124" spans="1:5">
      <c r="A124" s="6" t="s">
        <v>153</v>
      </c>
      <c r="B124" s="48">
        <f>IF(B120=0,Constants!C13*Calculations!B119*1000,((B119*1000)+(B123*1000)*(1+(B119/B117)))*Constants!C13)</f>
        <v>4.2202127659574469</v>
      </c>
      <c r="C124" s="223" t="s">
        <v>1</v>
      </c>
    </row>
    <row r="125" spans="1:5">
      <c r="A125" s="6" t="s">
        <v>208</v>
      </c>
      <c r="B125" s="48">
        <f>Constants!C11*((Calculations!B117+Calculations!B119)/Calculations!B117)</f>
        <v>7.8191489361702127</v>
      </c>
      <c r="C125" s="223" t="s">
        <v>1</v>
      </c>
    </row>
    <row r="126" spans="1:5">
      <c r="A126" s="6" t="s">
        <v>209</v>
      </c>
      <c r="B126" s="48">
        <f>B125-B124</f>
        <v>3.5989361702127658</v>
      </c>
      <c r="C126" s="224" t="s">
        <v>1</v>
      </c>
    </row>
    <row r="127" spans="1:5" ht="15.75" thickBot="1">
      <c r="A127" s="216" t="s">
        <v>152</v>
      </c>
      <c r="B127" s="209">
        <f>Constants!C12*(Calculations!B117+Calculations!B119)/Calculations!B117</f>
        <v>3.9095744680851063</v>
      </c>
      <c r="C127" s="225" t="s">
        <v>1</v>
      </c>
    </row>
    <row r="128" spans="1:5" ht="15.75" thickBot="1">
      <c r="A128" s="220"/>
      <c r="B128" s="226"/>
      <c r="C128" s="227"/>
    </row>
    <row r="129" spans="1:42">
      <c r="A129" s="286" t="s">
        <v>484</v>
      </c>
      <c r="B129" s="287"/>
      <c r="C129" s="288"/>
    </row>
    <row r="130" spans="1:42">
      <c r="A130" s="73" t="s">
        <v>489</v>
      </c>
      <c r="B130" s="47">
        <f>Design_Converter!B107</f>
        <v>24</v>
      </c>
      <c r="C130" s="42" t="s">
        <v>1</v>
      </c>
    </row>
    <row r="131" spans="1:42">
      <c r="A131" s="73" t="s">
        <v>485</v>
      </c>
      <c r="B131" s="48">
        <f>Constants!C18/1</f>
        <v>1</v>
      </c>
      <c r="C131" s="42" t="s">
        <v>95</v>
      </c>
    </row>
    <row r="132" spans="1:42">
      <c r="A132" s="73" t="s">
        <v>486</v>
      </c>
      <c r="B132" s="47">
        <f>Design_Converter!B109</f>
        <v>1</v>
      </c>
      <c r="C132" s="42" t="s">
        <v>95</v>
      </c>
    </row>
    <row r="133" spans="1:42">
      <c r="A133" s="73" t="s">
        <v>487</v>
      </c>
      <c r="B133" s="48">
        <f>(B130-Constants!C18)/Constants!C18*B132</f>
        <v>23</v>
      </c>
      <c r="C133" s="42" t="s">
        <v>95</v>
      </c>
    </row>
    <row r="134" spans="1:42">
      <c r="A134" s="73" t="s">
        <v>488</v>
      </c>
      <c r="B134" s="47">
        <f>Design_Converter!B111</f>
        <v>23</v>
      </c>
      <c r="C134" s="42" t="s">
        <v>95</v>
      </c>
    </row>
    <row r="135" spans="1:42" ht="15.75" thickBot="1">
      <c r="A135" s="229" t="s">
        <v>490</v>
      </c>
      <c r="B135" s="209">
        <f>(B134+B132)/B132*Constants!C18</f>
        <v>24</v>
      </c>
      <c r="C135" s="75" t="s">
        <v>1</v>
      </c>
      <c r="N135" s="23"/>
      <c r="O135" s="23"/>
      <c r="P135" s="23"/>
      <c r="Q135" s="23"/>
      <c r="R135" s="23"/>
      <c r="S135" s="23"/>
      <c r="T135" s="23"/>
      <c r="U135" s="23"/>
      <c r="V135" s="23"/>
      <c r="W135" s="23"/>
      <c r="X135" s="23"/>
      <c r="Y135" s="23"/>
      <c r="Z135" s="23"/>
      <c r="AA135" s="23"/>
      <c r="AC135" s="23"/>
      <c r="AD135" s="23"/>
      <c r="AE135" s="23"/>
      <c r="AF135" s="23"/>
      <c r="AG135" s="23"/>
      <c r="AH135" s="23"/>
      <c r="AI135" s="23"/>
      <c r="AJ135" s="23"/>
      <c r="AK135" s="23"/>
      <c r="AL135" s="23"/>
      <c r="AM135" s="23"/>
      <c r="AN135" s="23"/>
      <c r="AO135" s="23"/>
      <c r="AP135" s="23"/>
    </row>
    <row r="137" spans="1:42" ht="15.75" customHeight="1" thickBot="1"/>
    <row r="138" spans="1:42">
      <c r="A138" s="286" t="s">
        <v>558</v>
      </c>
      <c r="B138" s="287"/>
      <c r="C138" s="288"/>
    </row>
    <row r="139" spans="1:42">
      <c r="A139" s="73" t="s">
        <v>175</v>
      </c>
      <c r="B139" s="47">
        <f>Design_Converter!B118</f>
        <v>3</v>
      </c>
      <c r="C139" s="42" t="s">
        <v>1</v>
      </c>
      <c r="D139" s="36">
        <f>IF(B139&gt;Constants!C48,1,0)</f>
        <v>0</v>
      </c>
      <c r="E139" s="36" t="s">
        <v>436</v>
      </c>
    </row>
    <row r="140" spans="1:42" s="23" customFormat="1">
      <c r="A140" s="73" t="s">
        <v>176</v>
      </c>
      <c r="B140" s="52">
        <f>(B139/((Constants!C6/Constants!C16)+(Constants!C15)))/1000</f>
        <v>19.999999999999996</v>
      </c>
      <c r="C140" s="223" t="s">
        <v>95</v>
      </c>
      <c r="D140" s="36"/>
      <c r="E140" s="36"/>
      <c r="F140"/>
      <c r="G140"/>
      <c r="H140"/>
      <c r="N140"/>
      <c r="O140"/>
      <c r="P140"/>
      <c r="Q140"/>
      <c r="R140"/>
      <c r="S140"/>
      <c r="T140"/>
      <c r="U140"/>
      <c r="V140"/>
      <c r="W140"/>
      <c r="X140"/>
      <c r="Y140"/>
      <c r="Z140"/>
      <c r="AA140"/>
      <c r="AB140"/>
      <c r="AC140"/>
      <c r="AD140"/>
      <c r="AE140"/>
      <c r="AF140"/>
      <c r="AG140"/>
      <c r="AH140"/>
      <c r="AI140"/>
      <c r="AJ140"/>
      <c r="AK140"/>
      <c r="AL140"/>
      <c r="AM140"/>
      <c r="AN140"/>
      <c r="AO140"/>
      <c r="AP140"/>
    </row>
    <row r="141" spans="1:42">
      <c r="A141" s="73" t="s">
        <v>158</v>
      </c>
      <c r="B141" s="57">
        <f>Design_Converter!B120</f>
        <v>10</v>
      </c>
      <c r="C141" s="223" t="s">
        <v>95</v>
      </c>
    </row>
    <row r="142" spans="1:42">
      <c r="A142" s="73" t="s">
        <v>177</v>
      </c>
      <c r="B142" s="48">
        <f>((Constants!C6/Constants!C16)+(Constants!C15))*B141*1000</f>
        <v>1.5</v>
      </c>
      <c r="C142" s="42" t="s">
        <v>1</v>
      </c>
      <c r="D142" s="36">
        <f>IF(B142&gt;Constants!C48,1,0)</f>
        <v>0</v>
      </c>
      <c r="E142" s="36" t="s">
        <v>436</v>
      </c>
    </row>
    <row r="143" spans="1:42">
      <c r="A143" s="73" t="s">
        <v>178</v>
      </c>
      <c r="B143" s="48">
        <f>(Constants!C15)*B141*1000</f>
        <v>0.5</v>
      </c>
      <c r="C143" s="215" t="s">
        <v>1</v>
      </c>
    </row>
    <row r="144" spans="1:42">
      <c r="A144" s="73" t="s">
        <v>179</v>
      </c>
      <c r="B144" s="52">
        <f>((100*10^-6)/(B141*1000))*(10^9)</f>
        <v>9.9999999999999982</v>
      </c>
      <c r="C144" s="215" t="s">
        <v>40</v>
      </c>
      <c r="E144" s="36" t="s">
        <v>181</v>
      </c>
    </row>
    <row r="145" spans="1:8">
      <c r="A145" s="73" t="s">
        <v>180</v>
      </c>
      <c r="B145" s="47">
        <f>Design_Converter!B124</f>
        <v>10</v>
      </c>
      <c r="C145" s="215" t="s">
        <v>40</v>
      </c>
    </row>
    <row r="146" spans="1:8">
      <c r="A146" s="73" t="s">
        <v>182</v>
      </c>
      <c r="B146" s="55">
        <f>(1/(2*PI()*B141*1000*(B145*10^-9)))*(1/1000)</f>
        <v>1.5915494309189535</v>
      </c>
      <c r="C146" s="215" t="s">
        <v>3</v>
      </c>
    </row>
    <row r="147" spans="1:8" ht="15.75" thickBot="1">
      <c r="A147" s="74" t="s">
        <v>183</v>
      </c>
      <c r="B147" s="234">
        <f>((B69*Rcs/(Constants!C16))*(B141*1000)*(10^(-(LOG10(Fsw/(B146*1000))))))*1000</f>
        <v>1.3390107614791966</v>
      </c>
      <c r="C147" s="218" t="s">
        <v>68</v>
      </c>
    </row>
    <row r="149" spans="1:8" ht="15.75" thickBot="1"/>
    <row r="150" spans="1:8">
      <c r="A150" s="286" t="s">
        <v>186</v>
      </c>
      <c r="B150" s="287"/>
      <c r="C150" s="288"/>
    </row>
    <row r="151" spans="1:8">
      <c r="A151" s="73" t="s">
        <v>190</v>
      </c>
      <c r="B151" s="47">
        <f>IF(Design_Converter!B131=Lists!G2,0,1)</f>
        <v>1</v>
      </c>
      <c r="C151" s="42"/>
      <c r="E151" s="36" t="s">
        <v>191</v>
      </c>
    </row>
    <row r="152" spans="1:8">
      <c r="A152" s="73" t="s">
        <v>192</v>
      </c>
      <c r="B152" s="47">
        <f>Design_Converter!B132*(10^-9)</f>
        <v>5.0000000000000004E-8</v>
      </c>
      <c r="C152" s="42" t="s">
        <v>23</v>
      </c>
      <c r="D152" s="36">
        <f>IF(B152&lt;Constants!C31,1,IF(B152&gt;Constants!C32,1,0))</f>
        <v>0</v>
      </c>
      <c r="E152" s="36" t="s">
        <v>210</v>
      </c>
    </row>
    <row r="153" spans="1:8">
      <c r="A153" s="73" t="s">
        <v>194</v>
      </c>
      <c r="B153" s="48">
        <f>(B152-Constants!C27)/(Constants!C26*1000)</f>
        <v>19.047619047619051</v>
      </c>
      <c r="C153" s="223" t="s">
        <v>95</v>
      </c>
    </row>
    <row r="154" spans="1:8">
      <c r="A154" s="73" t="s">
        <v>195</v>
      </c>
      <c r="B154" s="47">
        <f>Design_Converter!B134</f>
        <v>22</v>
      </c>
      <c r="C154" s="223" t="s">
        <v>95</v>
      </c>
    </row>
    <row r="155" spans="1:8">
      <c r="A155" s="73" t="s">
        <v>196</v>
      </c>
      <c r="B155" s="48">
        <f>IF(B151=1,(((B154*1000)*Constants!C26)+Constants!C27)*(10^9),(Constants!C29*(10^9)))</f>
        <v>57.75</v>
      </c>
      <c r="C155" s="42" t="s">
        <v>93</v>
      </c>
      <c r="D155" s="36">
        <f>IF(B155*0.000000001&lt;Constants!C31,1,IF(B155*0.000000001&gt;Constants!C32,1,0))</f>
        <v>0</v>
      </c>
    </row>
    <row r="156" spans="1:8" ht="15.75" thickBot="1">
      <c r="A156" s="74" t="s">
        <v>197</v>
      </c>
      <c r="B156" s="209">
        <f>IF(B151=1,(((B154*1000)*Constants!C26)+Constants!C27)*(10^9),(Constants!C30*(10^9)))</f>
        <v>57.75</v>
      </c>
      <c r="C156" s="75" t="s">
        <v>93</v>
      </c>
      <c r="D156" s="36">
        <f>IF(B156*0.000000001&lt;Constants!C31,1,IF(B156*0.000000001&gt;Constants!C32,1,0))</f>
        <v>0</v>
      </c>
      <c r="H156" s="23"/>
    </row>
    <row r="157" spans="1:8">
      <c r="A157" s="45"/>
      <c r="B157" s="239"/>
      <c r="C157" s="45"/>
      <c r="H157" s="23"/>
    </row>
    <row r="158" spans="1:8" ht="15.75" thickBot="1">
      <c r="A158" s="45"/>
      <c r="B158" s="239"/>
      <c r="C158" s="45"/>
      <c r="H158" s="23"/>
    </row>
    <row r="159" spans="1:8">
      <c r="A159" s="286" t="s">
        <v>494</v>
      </c>
      <c r="B159" s="287"/>
      <c r="C159" s="288"/>
      <c r="H159" s="23"/>
    </row>
    <row r="160" spans="1:8" ht="17.25">
      <c r="A160" s="73" t="s">
        <v>583</v>
      </c>
      <c r="B160" s="57" t="str">
        <f>Design_Converter!B141</f>
        <v>0x0</v>
      </c>
      <c r="C160" s="42"/>
      <c r="H160" s="23"/>
    </row>
    <row r="161" spans="1:8">
      <c r="A161" s="73" t="s">
        <v>584</v>
      </c>
      <c r="B161" s="57" t="str">
        <f>Design_Converter!B142</f>
        <v>I_LV</v>
      </c>
      <c r="C161" s="42"/>
      <c r="H161" s="23"/>
    </row>
    <row r="162" spans="1:8" ht="15.75" thickBot="1">
      <c r="A162" s="241" t="s">
        <v>194</v>
      </c>
      <c r="B162" s="242" t="str">
        <f>LOOKUP(2,1/(Lists!M2:M17=Calculations!B160)/(Lists!N2:N17=Calculations!B161),Lists!O2:O17)</f>
        <v>&lt;0.1</v>
      </c>
      <c r="C162" s="243" t="s">
        <v>95</v>
      </c>
      <c r="H162" s="23"/>
    </row>
    <row r="163" spans="1:8">
      <c r="A163" s="286" t="s">
        <v>521</v>
      </c>
      <c r="B163" s="287"/>
      <c r="C163" s="288"/>
      <c r="H163" s="23"/>
    </row>
    <row r="164" spans="1:8">
      <c r="A164" s="73" t="s">
        <v>585</v>
      </c>
      <c r="B164" s="48" t="str">
        <f>IF(MOD(np,3)=0,"240°","180°")</f>
        <v>180°</v>
      </c>
      <c r="C164" s="42"/>
      <c r="H164" s="23"/>
    </row>
    <row r="165" spans="1:8" ht="15.75" thickBot="1">
      <c r="A165" s="229" t="s">
        <v>531</v>
      </c>
      <c r="B165" s="209" t="str">
        <f>VLOOKUP(B164,Lists!Q2:R3,2)</f>
        <v>HIGH</v>
      </c>
      <c r="C165" s="240"/>
      <c r="H165" s="23"/>
    </row>
    <row r="167" spans="1:8">
      <c r="A167" s="300" t="s">
        <v>215</v>
      </c>
      <c r="B167" s="300"/>
      <c r="C167" s="300"/>
    </row>
    <row r="168" spans="1:8">
      <c r="A168" s="33" t="s">
        <v>213</v>
      </c>
      <c r="B168" s="47">
        <f>Design_Converter!B151</f>
        <v>10</v>
      </c>
      <c r="C168" s="62" t="s">
        <v>214</v>
      </c>
    </row>
    <row r="169" spans="1:8">
      <c r="A169" s="33" t="s">
        <v>217</v>
      </c>
      <c r="B169" s="60"/>
      <c r="C169" s="62" t="s">
        <v>218</v>
      </c>
    </row>
    <row r="170" spans="1:8">
      <c r="A170" s="33" t="s">
        <v>216</v>
      </c>
      <c r="B170" s="60">
        <f>(Rcs+Rs)/(2*PI()*Lm*1000)</f>
        <v>7.9577471545947673E-2</v>
      </c>
      <c r="C170" s="62" t="s">
        <v>3</v>
      </c>
    </row>
    <row r="171" spans="1:8">
      <c r="A171" s="33" t="s">
        <v>219</v>
      </c>
      <c r="B171" s="58">
        <f>1/(Kff*(Rcs+Rs))</f>
        <v>2909.0909090909095</v>
      </c>
      <c r="C171" s="62" t="s">
        <v>42</v>
      </c>
      <c r="E171" s="36" t="s">
        <v>354</v>
      </c>
    </row>
    <row r="172" spans="1:8">
      <c r="A172" s="33" t="s">
        <v>220</v>
      </c>
      <c r="B172" s="51">
        <f>Fsw/6.28</f>
        <v>16401.273885350318</v>
      </c>
      <c r="C172" s="62" t="s">
        <v>83</v>
      </c>
    </row>
    <row r="173" spans="1:8">
      <c r="A173" s="33" t="s">
        <v>221</v>
      </c>
      <c r="B173" s="47">
        <f>Design_Converter!B153*1000</f>
        <v>15000</v>
      </c>
      <c r="C173" s="62" t="s">
        <v>83</v>
      </c>
      <c r="E173" s="36" t="s">
        <v>450</v>
      </c>
    </row>
    <row r="174" spans="1:8">
      <c r="A174" s="33" t="s">
        <v>228</v>
      </c>
      <c r="B174" s="58">
        <f>B170*1000</f>
        <v>79.577471545947674</v>
      </c>
      <c r="C174" s="62" t="s">
        <v>83</v>
      </c>
    </row>
    <row r="175" spans="1:8">
      <c r="A175" s="33" t="s">
        <v>355</v>
      </c>
      <c r="B175" s="51">
        <f>IF(B173*10&gt;=Fsw/2,Fsw/2,B173*10)</f>
        <v>51500</v>
      </c>
      <c r="C175" s="62" t="s">
        <v>83</v>
      </c>
    </row>
    <row r="176" spans="1:8">
      <c r="A176" s="33" t="s">
        <v>222</v>
      </c>
      <c r="B176" s="60">
        <f>((Kff/(Rcs*gm*Acs))*IMABS(COMPLEX(Rcs+Rs,2*PI()*B173*Lm)))/1000</f>
        <v>16.19906507476712</v>
      </c>
      <c r="C176" s="63" t="s">
        <v>95</v>
      </c>
    </row>
    <row r="177" spans="1:7">
      <c r="A177" s="33" t="s">
        <v>223</v>
      </c>
      <c r="B177" s="47">
        <f>Design_Converter!B155</f>
        <v>16.5</v>
      </c>
      <c r="C177" s="63" t="s">
        <v>95</v>
      </c>
    </row>
    <row r="178" spans="1:7">
      <c r="A178" s="33" t="s">
        <v>224</v>
      </c>
      <c r="B178" s="58">
        <f>1/(2*PI()*(B173)*0.2*B177*1000)*(10^9)</f>
        <v>3.2152513755938452</v>
      </c>
      <c r="C178" s="62" t="s">
        <v>40</v>
      </c>
      <c r="E178" s="36" t="s">
        <v>449</v>
      </c>
    </row>
    <row r="179" spans="1:7">
      <c r="A179" s="33" t="s">
        <v>225</v>
      </c>
      <c r="B179" s="47">
        <f>Design_Converter!B157</f>
        <v>3.3</v>
      </c>
      <c r="C179" s="33" t="s">
        <v>40</v>
      </c>
      <c r="D179" s="37"/>
      <c r="F179" s="23"/>
      <c r="G179" s="23"/>
    </row>
    <row r="180" spans="1:7">
      <c r="A180" s="33" t="s">
        <v>226</v>
      </c>
      <c r="B180" s="65">
        <f>1/(2*PI()*(B173)*3*B177*1000)*(10^9)</f>
        <v>0.21435009170625635</v>
      </c>
      <c r="C180" s="64" t="s">
        <v>40</v>
      </c>
      <c r="E180" s="36" t="s">
        <v>451</v>
      </c>
    </row>
    <row r="181" spans="1:7">
      <c r="A181" s="33" t="s">
        <v>227</v>
      </c>
      <c r="B181" s="47">
        <f>Design_Converter!B159</f>
        <v>0.1</v>
      </c>
      <c r="C181" s="33" t="s">
        <v>40</v>
      </c>
    </row>
    <row r="182" spans="1:7">
      <c r="A182" s="33" t="s">
        <v>229</v>
      </c>
      <c r="B182" s="60">
        <f>(1/(2*PI()*B177*1000*B179*(10^-9)))/1000</f>
        <v>2.922955795994405</v>
      </c>
      <c r="C182" s="33" t="s">
        <v>3</v>
      </c>
    </row>
    <row r="183" spans="1:7">
      <c r="A183" s="33" t="s">
        <v>230</v>
      </c>
      <c r="B183" s="58">
        <f>(1/(2*PI()*B177*1000*B181*(10^-9)))/1000</f>
        <v>96.457541267815358</v>
      </c>
      <c r="C183" s="33" t="s">
        <v>3</v>
      </c>
    </row>
    <row r="189" spans="1:7">
      <c r="A189" s="300" t="s">
        <v>423</v>
      </c>
      <c r="B189" s="300"/>
      <c r="C189" s="300"/>
    </row>
    <row r="190" spans="1:7">
      <c r="A190" s="179" t="s">
        <v>327</v>
      </c>
      <c r="B190" s="47">
        <f>Design_Converter!B174</f>
        <v>1.75</v>
      </c>
      <c r="C190" s="33" t="s">
        <v>1</v>
      </c>
    </row>
    <row r="191" spans="1:7">
      <c r="A191" s="179" t="s">
        <v>319</v>
      </c>
      <c r="B191" s="47">
        <f>Design_Converter!B175*1000</f>
        <v>4300</v>
      </c>
      <c r="C191" s="33" t="s">
        <v>53</v>
      </c>
    </row>
    <row r="192" spans="1:7">
      <c r="A192" s="179" t="s">
        <v>328</v>
      </c>
      <c r="B192" s="51">
        <f>(B191*V12_Nom/B190)-B191</f>
        <v>25185.714285714286</v>
      </c>
      <c r="C192" s="33" t="s">
        <v>53</v>
      </c>
    </row>
    <row r="193" spans="1:5">
      <c r="A193" s="179" t="s">
        <v>318</v>
      </c>
      <c r="B193" s="47">
        <f>Design_Converter!B177*1000</f>
        <v>22000</v>
      </c>
      <c r="C193" s="33" t="s">
        <v>53</v>
      </c>
    </row>
    <row r="194" spans="1:5">
      <c r="A194" s="179" t="s">
        <v>311</v>
      </c>
      <c r="B194" s="60">
        <f>V12_Nom/(I_Channel_Design*np)</f>
        <v>1</v>
      </c>
      <c r="C194" s="33" t="s">
        <v>53</v>
      </c>
    </row>
    <row r="195" spans="1:5">
      <c r="A195" s="179" t="s">
        <v>312</v>
      </c>
      <c r="B195" s="58">
        <f>1/(2*PI()*Zo_Buck_Cout*B194)</f>
        <v>198.94367886486918</v>
      </c>
      <c r="C195" s="33" t="s">
        <v>83</v>
      </c>
      <c r="E195" s="36" t="s">
        <v>331</v>
      </c>
    </row>
    <row r="196" spans="1:5">
      <c r="A196" s="33" t="s">
        <v>332</v>
      </c>
      <c r="B196" s="110">
        <f>1/(2*PI()*Zo_Buck_Resr*Zo_Buck_Cout)</f>
        <v>19894.367886486914</v>
      </c>
      <c r="C196" s="33" t="s">
        <v>83</v>
      </c>
      <c r="E196" s="36" t="s">
        <v>335</v>
      </c>
    </row>
    <row r="197" spans="1:5">
      <c r="A197" s="178" t="s">
        <v>333</v>
      </c>
      <c r="B197" s="51">
        <f>B173/10</f>
        <v>1500</v>
      </c>
      <c r="C197" s="33" t="s">
        <v>83</v>
      </c>
      <c r="E197" s="36" t="s">
        <v>336</v>
      </c>
    </row>
    <row r="198" spans="1:5">
      <c r="A198" s="179" t="s">
        <v>334</v>
      </c>
      <c r="B198" s="51">
        <f>Design_Converter!B179*1000</f>
        <v>1500</v>
      </c>
      <c r="C198" s="33" t="s">
        <v>83</v>
      </c>
    </row>
    <row r="199" spans="1:5">
      <c r="A199" s="297" t="s">
        <v>305</v>
      </c>
      <c r="B199" s="298"/>
      <c r="C199" s="299"/>
      <c r="D199"/>
    </row>
    <row r="200" spans="1:5">
      <c r="A200" s="33" t="s">
        <v>309</v>
      </c>
      <c r="B200" s="60">
        <f>10^(Compensation!S134/20)</f>
        <v>6.4317639265637458</v>
      </c>
      <c r="C200" s="33" t="s">
        <v>42</v>
      </c>
      <c r="D200"/>
      <c r="E200"/>
    </row>
    <row r="201" spans="1:5">
      <c r="A201" s="33" t="s">
        <v>315</v>
      </c>
      <c r="B201" s="58">
        <f>B195</f>
        <v>198.94367886486918</v>
      </c>
      <c r="C201" s="33" t="s">
        <v>83</v>
      </c>
      <c r="D201"/>
      <c r="E201"/>
    </row>
    <row r="202" spans="1:5">
      <c r="A202" s="33" t="s">
        <v>317</v>
      </c>
      <c r="B202" s="110">
        <f>IF(B196&gt;(Fsw/2),Fsw/2,B196)</f>
        <v>19894.367886486914</v>
      </c>
      <c r="C202" s="33" t="s">
        <v>83</v>
      </c>
      <c r="D202"/>
      <c r="E202"/>
    </row>
    <row r="203" spans="1:5">
      <c r="A203" s="33" t="s">
        <v>314</v>
      </c>
      <c r="B203" s="60">
        <f>((B193*B198)/(B201*B200))*SQRT(((1+((B198^2)/(B202^2)))/(1+((B198^2)/(B201^2)))))</f>
        <v>3400.454983885701</v>
      </c>
      <c r="C203" s="111" t="s">
        <v>53</v>
      </c>
      <c r="D203"/>
      <c r="E203"/>
    </row>
    <row r="204" spans="1:5">
      <c r="A204" s="179" t="s">
        <v>320</v>
      </c>
      <c r="B204" s="112">
        <f>Design_Converter!B181*1000</f>
        <v>4300</v>
      </c>
      <c r="C204" s="33" t="s">
        <v>53</v>
      </c>
      <c r="D204"/>
      <c r="E204"/>
    </row>
    <row r="205" spans="1:5">
      <c r="A205" s="33" t="s">
        <v>322</v>
      </c>
      <c r="B205" s="51">
        <f>1/(2*PI()*B201*B203)</f>
        <v>2.3526263508592009E-7</v>
      </c>
      <c r="C205" s="33" t="s">
        <v>325</v>
      </c>
      <c r="D205"/>
      <c r="E205"/>
    </row>
    <row r="206" spans="1:5">
      <c r="A206" s="179" t="s">
        <v>321</v>
      </c>
      <c r="B206" s="47">
        <f>Design_Converter!B183*(10^-9)</f>
        <v>1.0000000000000001E-7</v>
      </c>
      <c r="C206" s="33" t="s">
        <v>325</v>
      </c>
      <c r="D206"/>
      <c r="E206"/>
    </row>
    <row r="207" spans="1:5">
      <c r="A207" s="33" t="s">
        <v>323</v>
      </c>
      <c r="B207" s="51">
        <f>1/(2*PI()*B202*B203)</f>
        <v>2.3526263508592012E-9</v>
      </c>
      <c r="C207" s="33"/>
      <c r="D207"/>
      <c r="E207"/>
    </row>
    <row r="208" spans="1:5">
      <c r="A208" s="179" t="s">
        <v>324</v>
      </c>
      <c r="B208" s="47">
        <f>Design_Converter!B185*(10^-12)</f>
        <v>3.2999999999999998E-9</v>
      </c>
      <c r="C208" s="33" t="s">
        <v>325</v>
      </c>
      <c r="D208"/>
      <c r="E208"/>
    </row>
    <row r="209" spans="1:5">
      <c r="A209" s="33" t="s">
        <v>329</v>
      </c>
      <c r="B209" s="60">
        <f>1/(2*PI()*B204*B206)/1000</f>
        <v>0.37012777463231472</v>
      </c>
      <c r="C209" s="33" t="s">
        <v>3</v>
      </c>
      <c r="D209"/>
      <c r="E209"/>
    </row>
    <row r="210" spans="1:5">
      <c r="A210" s="33" t="s">
        <v>330</v>
      </c>
      <c r="B210" s="60">
        <f>1/(2*PI()*B204*B208)/1000</f>
        <v>11.215993170676205</v>
      </c>
      <c r="C210" s="33" t="s">
        <v>3</v>
      </c>
      <c r="D210"/>
      <c r="E210"/>
    </row>
    <row r="211" spans="1:5">
      <c r="A211" s="45"/>
      <c r="B211" s="172"/>
      <c r="C211" s="45"/>
      <c r="D211"/>
      <c r="E211"/>
    </row>
    <row r="212" spans="1:5">
      <c r="A212" s="300" t="s">
        <v>422</v>
      </c>
      <c r="B212" s="300"/>
      <c r="C212" s="300"/>
      <c r="D212"/>
      <c r="E212"/>
    </row>
    <row r="213" spans="1:5">
      <c r="A213" s="183" t="s">
        <v>392</v>
      </c>
      <c r="B213" s="57">
        <f>B78</f>
        <v>44</v>
      </c>
      <c r="C213" s="33" t="s">
        <v>4</v>
      </c>
      <c r="D213"/>
      <c r="E213"/>
    </row>
    <row r="214" spans="1:5">
      <c r="A214" s="33" t="s">
        <v>356</v>
      </c>
      <c r="B214" s="51">
        <f>B213*Rcs*Acs+1</f>
        <v>2.76</v>
      </c>
      <c r="C214" s="33" t="s">
        <v>1</v>
      </c>
      <c r="D214"/>
      <c r="E214"/>
    </row>
    <row r="215" spans="1:5">
      <c r="A215" s="173" t="s">
        <v>563</v>
      </c>
      <c r="B215" s="48">
        <f>B214/1</f>
        <v>2.76</v>
      </c>
      <c r="C215" s="33" t="s">
        <v>39</v>
      </c>
      <c r="D215"/>
      <c r="E215"/>
    </row>
    <row r="216" spans="1:5">
      <c r="A216" s="173" t="s">
        <v>564</v>
      </c>
      <c r="B216" s="47">
        <f>Design_Converter!B167</f>
        <v>2.2000000000000002</v>
      </c>
      <c r="C216" s="33" t="s">
        <v>39</v>
      </c>
      <c r="D216"/>
      <c r="E216"/>
    </row>
    <row r="217" spans="1:5">
      <c r="A217" s="173" t="s">
        <v>565</v>
      </c>
      <c r="B217" s="48">
        <f>(4-B214)/B214*B216</f>
        <v>0.9884057971014496</v>
      </c>
      <c r="C217" s="33" t="s">
        <v>39</v>
      </c>
      <c r="D217">
        <f>IF(B217&lt;0,1,0)</f>
        <v>0</v>
      </c>
      <c r="E217"/>
    </row>
    <row r="218" spans="1:5">
      <c r="A218" s="173" t="s">
        <v>566</v>
      </c>
      <c r="B218" s="47">
        <f>Design_Converter!B169</f>
        <v>1</v>
      </c>
      <c r="C218" s="33" t="s">
        <v>39</v>
      </c>
      <c r="D218"/>
      <c r="E218"/>
    </row>
    <row r="219" spans="1:5">
      <c r="A219" s="33" t="s">
        <v>357</v>
      </c>
      <c r="B219" s="174">
        <f>B190/V12_Nom</f>
        <v>0.14583333333333334</v>
      </c>
      <c r="C219" s="33"/>
      <c r="D219"/>
      <c r="E219"/>
    </row>
    <row r="220" spans="1:5">
      <c r="A220" s="33" t="s">
        <v>571</v>
      </c>
      <c r="B220" s="60">
        <f>V12_Nom/(I_Channel_Design*np)</f>
        <v>1</v>
      </c>
      <c r="C220" s="33" t="s">
        <v>53</v>
      </c>
      <c r="D220"/>
      <c r="E220"/>
    </row>
    <row r="221" spans="1:5">
      <c r="A221" s="33" t="s">
        <v>360</v>
      </c>
      <c r="B221" s="60">
        <f>20*LOG(np*B220/Acs/Rcs)</f>
        <v>33.979400086720375</v>
      </c>
      <c r="C221" s="33" t="s">
        <v>310</v>
      </c>
      <c r="D221"/>
      <c r="E221" t="s">
        <v>572</v>
      </c>
    </row>
    <row r="222" spans="1:5">
      <c r="A222" s="33" t="s">
        <v>358</v>
      </c>
      <c r="B222" s="174">
        <f>1/(2*PI()*Zo_Buck_Cout*(B220+Design_Converter!B61/1000))</f>
        <v>196.97393947016749</v>
      </c>
      <c r="C222" s="33" t="s">
        <v>83</v>
      </c>
      <c r="D222"/>
      <c r="E222"/>
    </row>
    <row r="223" spans="1:5">
      <c r="A223" s="33" t="s">
        <v>359</v>
      </c>
      <c r="B223" s="174">
        <f>B221-20*LOG(B198/B222)</f>
        <v>16.345750322952725</v>
      </c>
      <c r="C223" s="33" t="s">
        <v>310</v>
      </c>
      <c r="D223"/>
      <c r="E223"/>
    </row>
    <row r="224" spans="1:5">
      <c r="A224" s="33" t="s">
        <v>361</v>
      </c>
      <c r="B224" s="174">
        <f>10^(-B223/20)*B193/1000/(B216/(B216+B218))</f>
        <v>4.8737411790730611</v>
      </c>
      <c r="C224" s="33" t="s">
        <v>39</v>
      </c>
      <c r="D224"/>
      <c r="E224"/>
    </row>
    <row r="225" spans="1:5">
      <c r="A225" s="33" t="s">
        <v>362</v>
      </c>
      <c r="B225" s="47">
        <f>Design_Converter!B181</f>
        <v>4.3</v>
      </c>
      <c r="C225" s="33" t="s">
        <v>39</v>
      </c>
      <c r="D225"/>
      <c r="E225"/>
    </row>
    <row r="226" spans="1:5">
      <c r="A226" s="33" t="s">
        <v>363</v>
      </c>
      <c r="B226" s="174">
        <f>1/(2*PI()*B225*1000*B222)*1000000000</f>
        <v>187.90697674418607</v>
      </c>
      <c r="C226" s="33" t="s">
        <v>40</v>
      </c>
      <c r="D226"/>
      <c r="E226"/>
    </row>
    <row r="227" spans="1:5">
      <c r="A227" s="33" t="s">
        <v>364</v>
      </c>
      <c r="B227" s="47">
        <f>Design_Converter!B183</f>
        <v>100</v>
      </c>
      <c r="C227" s="33" t="s">
        <v>40</v>
      </c>
      <c r="D227"/>
      <c r="E227"/>
    </row>
    <row r="228" spans="1:5">
      <c r="A228" s="33" t="s">
        <v>365</v>
      </c>
      <c r="B228" s="174">
        <f>MIN(1/(2*PI()*(B198)*5*B225*1000)*(10^12),B227*100)</f>
        <v>4935.0369950975301</v>
      </c>
      <c r="C228" s="33" t="s">
        <v>367</v>
      </c>
      <c r="D228"/>
      <c r="E228"/>
    </row>
    <row r="229" spans="1:5">
      <c r="A229" s="33" t="s">
        <v>366</v>
      </c>
      <c r="B229" s="47">
        <f>Design_Converter!B185</f>
        <v>3300</v>
      </c>
      <c r="C229" s="33" t="s">
        <v>367</v>
      </c>
      <c r="D229"/>
      <c r="E229"/>
    </row>
    <row r="230" spans="1:5">
      <c r="A230" s="33" t="s">
        <v>329</v>
      </c>
      <c r="B230" s="174">
        <f>1/(2*PI()*B225*1000*B227*10^-9)/1000</f>
        <v>0.37012777463231472</v>
      </c>
      <c r="C230" s="33" t="s">
        <v>3</v>
      </c>
      <c r="D230"/>
      <c r="E230"/>
    </row>
    <row r="231" spans="1:5">
      <c r="A231" s="33" t="s">
        <v>330</v>
      </c>
      <c r="B231" s="174">
        <f>1/(2*PI()*B225*1000*B229*10^-12)/1000</f>
        <v>11.215993170676203</v>
      </c>
      <c r="C231" s="33" t="s">
        <v>3</v>
      </c>
      <c r="D231"/>
      <c r="E231"/>
    </row>
    <row r="232" spans="1:5">
      <c r="A232" s="45"/>
      <c r="B232" s="175"/>
      <c r="C232" s="45"/>
      <c r="E232"/>
    </row>
    <row r="233" spans="1:5">
      <c r="A233" s="300" t="s">
        <v>424</v>
      </c>
      <c r="B233" s="300"/>
      <c r="C233" s="300"/>
    </row>
    <row r="234" spans="1:5">
      <c r="A234" s="179" t="s">
        <v>327</v>
      </c>
      <c r="B234" s="47">
        <f>Design_Converter!B192</f>
        <v>1.75</v>
      </c>
      <c r="C234" s="33" t="s">
        <v>1</v>
      </c>
    </row>
    <row r="235" spans="1:5">
      <c r="A235" s="179" t="s">
        <v>319</v>
      </c>
      <c r="B235" s="47">
        <f>Design_Converter!B193*1000</f>
        <v>3300</v>
      </c>
      <c r="C235" s="33" t="s">
        <v>53</v>
      </c>
    </row>
    <row r="236" spans="1:5">
      <c r="A236" s="179" t="s">
        <v>328</v>
      </c>
      <c r="B236" s="51">
        <f>(B235*V48_Nom/B234)-B235</f>
        <v>100414.28571428571</v>
      </c>
      <c r="C236" s="33" t="s">
        <v>53</v>
      </c>
    </row>
    <row r="237" spans="1:5">
      <c r="A237" s="179" t="s">
        <v>318</v>
      </c>
      <c r="B237" s="47">
        <f>Design_Converter!B195*1000</f>
        <v>100000</v>
      </c>
      <c r="C237" s="33" t="s">
        <v>53</v>
      </c>
    </row>
    <row r="238" spans="1:5">
      <c r="A238" s="179" t="s">
        <v>311</v>
      </c>
      <c r="B238" s="60">
        <f>V48_Nom/Design_Converter!B27</f>
        <v>11</v>
      </c>
      <c r="C238" s="33" t="s">
        <v>53</v>
      </c>
      <c r="E238" s="36" t="s">
        <v>307</v>
      </c>
    </row>
    <row r="239" spans="1:5">
      <c r="A239" s="179" t="s">
        <v>302</v>
      </c>
      <c r="B239" s="110">
        <f>2/(((V48_Nom^2)/(V12_Min*B28*np))*(2*PI()*Zo_Boost_Cout))</f>
        <v>21.045281731159719</v>
      </c>
      <c r="C239" s="33" t="s">
        <v>83</v>
      </c>
      <c r="E239" s="36" t="s">
        <v>306</v>
      </c>
    </row>
    <row r="240" spans="1:5">
      <c r="A240" s="179" t="s">
        <v>301</v>
      </c>
      <c r="B240" s="110">
        <f>(((V12_Min/V48_Nom)^2)*B238)/(2*PI()*(Lm/np))</f>
        <v>5261.3204327899293</v>
      </c>
      <c r="C240" s="33" t="s">
        <v>83</v>
      </c>
      <c r="E240" s="36" t="s">
        <v>306</v>
      </c>
    </row>
    <row r="241" spans="1:5">
      <c r="A241" s="179" t="s">
        <v>304</v>
      </c>
      <c r="B241" s="60">
        <f>MIN(B240/5, B173/10)</f>
        <v>1052.2640865579858</v>
      </c>
      <c r="C241" s="33" t="s">
        <v>83</v>
      </c>
      <c r="E241" s="36" t="s">
        <v>313</v>
      </c>
    </row>
    <row r="242" spans="1:5">
      <c r="A242" s="179" t="s">
        <v>303</v>
      </c>
      <c r="B242" s="47">
        <f>Design_Converter!B197*1000</f>
        <v>3000</v>
      </c>
      <c r="C242" s="33" t="s">
        <v>83</v>
      </c>
    </row>
    <row r="243" spans="1:5">
      <c r="A243" s="297" t="s">
        <v>305</v>
      </c>
      <c r="B243" s="298"/>
      <c r="C243" s="299"/>
    </row>
    <row r="244" spans="1:5">
      <c r="A244" s="33" t="s">
        <v>309</v>
      </c>
      <c r="B244" s="60">
        <f>10^(Compensation!S224/20)</f>
        <v>0.92269819402087916</v>
      </c>
      <c r="C244" s="33" t="s">
        <v>310</v>
      </c>
      <c r="E244" s="36" t="s">
        <v>316</v>
      </c>
    </row>
    <row r="245" spans="1:5">
      <c r="A245" s="33" t="s">
        <v>315</v>
      </c>
      <c r="B245" s="60">
        <f>2/(2*PI()*B238*Zo_Boost_Cout)</f>
        <v>48.228770633907686</v>
      </c>
      <c r="C245" s="33" t="s">
        <v>83</v>
      </c>
    </row>
    <row r="246" spans="1:5">
      <c r="A246" s="33" t="s">
        <v>317</v>
      </c>
      <c r="B246" s="51">
        <f>Fsw/2</f>
        <v>51500</v>
      </c>
      <c r="C246" s="33" t="s">
        <v>83</v>
      </c>
    </row>
    <row r="247" spans="1:5">
      <c r="A247" s="33" t="s">
        <v>314</v>
      </c>
      <c r="B247" s="60">
        <f>((B237*B242)/(B244*B245))*SQRT((1+((B242/B246)^2))/(1+((B242/B245)^2)))</f>
        <v>108547.49962863365</v>
      </c>
      <c r="C247" s="33" t="s">
        <v>53</v>
      </c>
    </row>
    <row r="248" spans="1:5">
      <c r="A248" s="179" t="s">
        <v>320</v>
      </c>
      <c r="B248" s="47">
        <f>Design_Converter!B199*1000</f>
        <v>100000</v>
      </c>
      <c r="C248" s="33" t="s">
        <v>53</v>
      </c>
      <c r="D248"/>
      <c r="E248"/>
    </row>
    <row r="249" spans="1:5">
      <c r="A249" s="33" t="s">
        <v>322</v>
      </c>
      <c r="B249" s="51">
        <f>1/(2*PI()*B247*B245)</f>
        <v>3.040143726285792E-8</v>
      </c>
      <c r="C249" s="33" t="s">
        <v>325</v>
      </c>
      <c r="D249"/>
      <c r="E249"/>
    </row>
    <row r="250" spans="1:5">
      <c r="A250" s="179" t="s">
        <v>321</v>
      </c>
      <c r="B250" s="47">
        <f>Design_Converter!B201*(10^-9)</f>
        <v>1.0000000000000001E-7</v>
      </c>
      <c r="C250" s="33" t="s">
        <v>325</v>
      </c>
      <c r="D250"/>
      <c r="E250"/>
    </row>
    <row r="251" spans="1:5">
      <c r="A251" s="33" t="s">
        <v>323</v>
      </c>
      <c r="B251" s="51">
        <f>1/(2*PI()*B247*B246)</f>
        <v>2.8470367858087552E-11</v>
      </c>
      <c r="C251" s="33" t="s">
        <v>325</v>
      </c>
      <c r="D251"/>
      <c r="E251"/>
    </row>
    <row r="252" spans="1:5">
      <c r="A252" s="179" t="s">
        <v>324</v>
      </c>
      <c r="B252" s="47">
        <f>Design_Converter!B203*(10^-12)</f>
        <v>1E-10</v>
      </c>
      <c r="C252" s="33" t="s">
        <v>325</v>
      </c>
      <c r="D252"/>
      <c r="E252"/>
    </row>
    <row r="253" spans="1:5">
      <c r="A253" s="33" t="s">
        <v>329</v>
      </c>
      <c r="B253" s="58">
        <f>1/(2*PI()*B248*B250)</f>
        <v>15.915494309189533</v>
      </c>
      <c r="C253" s="33" t="s">
        <v>83</v>
      </c>
      <c r="D253"/>
      <c r="E253"/>
    </row>
    <row r="254" spans="1:5">
      <c r="A254" s="33" t="s">
        <v>330</v>
      </c>
      <c r="B254" s="110">
        <f>1/(2*PI()*B248*B252)</f>
        <v>15915.494309189537</v>
      </c>
      <c r="C254" s="33" t="s">
        <v>83</v>
      </c>
    </row>
    <row r="255" spans="1:5">
      <c r="D255"/>
      <c r="E255"/>
    </row>
    <row r="256" spans="1:5">
      <c r="A256" s="300" t="s">
        <v>425</v>
      </c>
      <c r="B256" s="300"/>
      <c r="C256" s="300"/>
      <c r="D256"/>
      <c r="E256"/>
    </row>
    <row r="257" spans="1:5">
      <c r="A257" s="173" t="s">
        <v>562</v>
      </c>
      <c r="B257" s="47">
        <f>Design_Converter!B169</f>
        <v>1</v>
      </c>
      <c r="C257" s="33" t="s">
        <v>39</v>
      </c>
      <c r="D257"/>
      <c r="E257"/>
    </row>
    <row r="258" spans="1:5">
      <c r="A258" s="173" t="s">
        <v>564</v>
      </c>
      <c r="B258" s="47">
        <f>Design_Converter!B167</f>
        <v>2.2000000000000002</v>
      </c>
      <c r="C258" s="33" t="s">
        <v>39</v>
      </c>
      <c r="D258"/>
      <c r="E258"/>
    </row>
    <row r="259" spans="1:5">
      <c r="A259" s="33" t="s">
        <v>357</v>
      </c>
      <c r="B259" s="174">
        <f>B234/V48_Nom</f>
        <v>3.1818181818181815E-2</v>
      </c>
      <c r="C259" s="33"/>
      <c r="D259"/>
      <c r="E259"/>
    </row>
    <row r="260" spans="1:5">
      <c r="A260" s="33" t="s">
        <v>311</v>
      </c>
      <c r="B260" s="60">
        <f>V48_Nom/Design_Converter!B27</f>
        <v>11</v>
      </c>
      <c r="C260" s="33" t="s">
        <v>53</v>
      </c>
      <c r="D260"/>
      <c r="E260"/>
    </row>
    <row r="261" spans="1:5">
      <c r="A261" s="33" t="s">
        <v>360</v>
      </c>
      <c r="B261" s="60">
        <f>20*LOG(np*B260/Acs/Rcs*V12_Min/V48_Nom)</f>
        <v>40</v>
      </c>
      <c r="C261" s="33" t="s">
        <v>310</v>
      </c>
      <c r="D261"/>
      <c r="E261"/>
    </row>
    <row r="262" spans="1:5">
      <c r="A262" s="33" t="s">
        <v>358</v>
      </c>
      <c r="B262" s="174">
        <f>1/(2*PI()*Zo_Boost_Cout*(B260+Design_Converter!B64/1000))</f>
        <v>24.092483059626911</v>
      </c>
      <c r="C262" s="33" t="s">
        <v>83</v>
      </c>
      <c r="D262"/>
      <c r="E262"/>
    </row>
    <row r="263" spans="1:5">
      <c r="A263" s="33" t="s">
        <v>359</v>
      </c>
      <c r="B263" s="174">
        <f>B261-20*LOG(B242/B262)</f>
        <v>-1.9047938486634592</v>
      </c>
      <c r="C263" s="33" t="s">
        <v>310</v>
      </c>
      <c r="D263"/>
      <c r="E263"/>
    </row>
    <row r="264" spans="1:5">
      <c r="A264" s="33" t="s">
        <v>361</v>
      </c>
      <c r="B264" s="174">
        <f>10^(-B263/20)*B237/1000/(B216/(B216+B218))</f>
        <v>181.12024206208736</v>
      </c>
      <c r="C264" s="33" t="s">
        <v>39</v>
      </c>
      <c r="D264"/>
      <c r="E264"/>
    </row>
    <row r="265" spans="1:5">
      <c r="A265" s="33" t="s">
        <v>362</v>
      </c>
      <c r="B265" s="47">
        <f>Design_Converter!B199</f>
        <v>100</v>
      </c>
      <c r="C265" s="33" t="s">
        <v>39</v>
      </c>
      <c r="D265"/>
      <c r="E265"/>
    </row>
    <row r="266" spans="1:5">
      <c r="A266" s="33" t="s">
        <v>363</v>
      </c>
      <c r="B266" s="174">
        <f>1/(2*PI()*B265*1000*B262)*1000000000</f>
        <v>66.059999999999974</v>
      </c>
      <c r="C266" s="33" t="s">
        <v>40</v>
      </c>
      <c r="D266"/>
      <c r="E266"/>
    </row>
    <row r="267" spans="1:5">
      <c r="A267" s="33" t="s">
        <v>364</v>
      </c>
      <c r="B267" s="47">
        <f>Design_Converter!B201</f>
        <v>100</v>
      </c>
      <c r="C267" s="33" t="s">
        <v>40</v>
      </c>
      <c r="D267"/>
      <c r="E267"/>
    </row>
    <row r="268" spans="1:5">
      <c r="A268" s="33" t="s">
        <v>365</v>
      </c>
      <c r="B268" s="174">
        <f>MIN(B267*10,1000000000000/(2*PI()*B265*1000*B240))</f>
        <v>302.49999999999994</v>
      </c>
      <c r="C268" s="33" t="s">
        <v>367</v>
      </c>
      <c r="D268"/>
      <c r="E268">
        <f>MAX(B267*20,1000000000000/(2*PI()*B265*1000*B240))</f>
        <v>2000</v>
      </c>
    </row>
    <row r="269" spans="1:5">
      <c r="A269" s="33" t="s">
        <v>366</v>
      </c>
      <c r="B269" s="47">
        <f>Design_Converter!B203</f>
        <v>100</v>
      </c>
      <c r="C269" s="33" t="s">
        <v>367</v>
      </c>
      <c r="D269"/>
      <c r="E269"/>
    </row>
    <row r="270" spans="1:5">
      <c r="A270" s="33" t="s">
        <v>329</v>
      </c>
      <c r="B270" s="174">
        <f>1/(2*PI()*B265*1000*B267*10^-9)/1000</f>
        <v>1.5915494309189534E-2</v>
      </c>
      <c r="C270" s="33" t="s">
        <v>3</v>
      </c>
      <c r="D270"/>
      <c r="E270"/>
    </row>
    <row r="271" spans="1:5">
      <c r="A271" s="33" t="s">
        <v>330</v>
      </c>
      <c r="B271" s="174">
        <f>1/(2*PI()*B265*1000*B269*10^-12)/1000</f>
        <v>15.915494309189533</v>
      </c>
      <c r="C271" s="33" t="s">
        <v>3</v>
      </c>
    </row>
    <row r="272" spans="1:5">
      <c r="D272"/>
      <c r="E272"/>
    </row>
    <row r="273" spans="4:5">
      <c r="D273"/>
      <c r="E273"/>
    </row>
    <row r="274" spans="4:5">
      <c r="D274"/>
      <c r="E274"/>
    </row>
  </sheetData>
  <mergeCells count="28">
    <mergeCell ref="A256:C256"/>
    <mergeCell ref="A212:C212"/>
    <mergeCell ref="A233:C233"/>
    <mergeCell ref="A189:C189"/>
    <mergeCell ref="A199:C199"/>
    <mergeCell ref="A243:C243"/>
    <mergeCell ref="A138:C138"/>
    <mergeCell ref="A150:C150"/>
    <mergeCell ref="A167:C167"/>
    <mergeCell ref="A129:C129"/>
    <mergeCell ref="A114:C114"/>
    <mergeCell ref="A159:C159"/>
    <mergeCell ref="A163:C163"/>
    <mergeCell ref="A103:C103"/>
    <mergeCell ref="A90:C90"/>
    <mergeCell ref="AD58:AO58"/>
    <mergeCell ref="A14:C14"/>
    <mergeCell ref="A6:C6"/>
    <mergeCell ref="A10:C10"/>
    <mergeCell ref="A68:C68"/>
    <mergeCell ref="A45:C45"/>
    <mergeCell ref="A21:C21"/>
    <mergeCell ref="AB4:AE4"/>
    <mergeCell ref="AF4:AI4"/>
    <mergeCell ref="AJ4:AM4"/>
    <mergeCell ref="P4:S4"/>
    <mergeCell ref="T4:W4"/>
    <mergeCell ref="X4:AA4"/>
  </mergeCells>
  <phoneticPr fontId="24"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3:CT228"/>
  <sheetViews>
    <sheetView zoomScale="85" zoomScaleNormal="85" workbookViewId="0">
      <selection activeCell="AF223" sqref="AF223"/>
    </sheetView>
  </sheetViews>
  <sheetFormatPr baseColWidth="10" defaultColWidth="9.140625" defaultRowHeight="15"/>
  <cols>
    <col min="1" max="1" width="27.42578125" customWidth="1"/>
    <col min="2" max="2" width="11.7109375" customWidth="1"/>
    <col min="3" max="3" width="12" customWidth="1"/>
    <col min="4" max="4" width="11.85546875" customWidth="1"/>
    <col min="7" max="7" width="10.42578125" customWidth="1"/>
    <col min="8" max="8" width="9.42578125" customWidth="1"/>
    <col min="10" max="10" width="17.42578125" customWidth="1"/>
    <col min="13" max="13" width="16.28515625" customWidth="1"/>
    <col min="14" max="14" width="16" bestFit="1" customWidth="1"/>
    <col min="15" max="15" width="13.85546875" customWidth="1"/>
    <col min="18" max="18" width="17.42578125" customWidth="1"/>
    <col min="21" max="21" width="12" customWidth="1"/>
    <col min="24" max="24" width="11.85546875" customWidth="1"/>
    <col min="25" max="25" width="10.42578125" customWidth="1"/>
    <col min="33" max="33" width="13.42578125" bestFit="1" customWidth="1"/>
  </cols>
  <sheetData>
    <row r="3" spans="1:31">
      <c r="B3" t="s">
        <v>231</v>
      </c>
    </row>
    <row r="4" spans="1:31">
      <c r="B4" t="s">
        <v>232</v>
      </c>
    </row>
    <row r="5" spans="1:31">
      <c r="B5" s="301" t="s">
        <v>33</v>
      </c>
      <c r="C5" s="301"/>
      <c r="D5" s="292" t="s">
        <v>233</v>
      </c>
      <c r="E5" s="292"/>
      <c r="F5" s="292"/>
      <c r="G5" s="292" t="s">
        <v>237</v>
      </c>
      <c r="H5" s="292"/>
      <c r="I5" s="292"/>
      <c r="J5" s="292" t="s">
        <v>238</v>
      </c>
      <c r="K5" s="292"/>
      <c r="L5" s="292"/>
    </row>
    <row r="6" spans="1:31">
      <c r="B6" s="302"/>
      <c r="C6" s="302"/>
      <c r="D6" s="292"/>
      <c r="E6" s="292"/>
      <c r="F6" s="292"/>
      <c r="G6" s="292"/>
      <c r="H6" s="292"/>
      <c r="I6" s="292"/>
      <c r="J6" s="292"/>
      <c r="K6" s="292"/>
      <c r="L6" s="292"/>
    </row>
    <row r="7" spans="1:31" s="2" customFormat="1" ht="45">
      <c r="B7" s="66" t="s">
        <v>35</v>
      </c>
      <c r="C7" s="66" t="s">
        <v>34</v>
      </c>
      <c r="D7" s="67" t="s">
        <v>234</v>
      </c>
      <c r="E7" s="67" t="s">
        <v>235</v>
      </c>
      <c r="F7" s="67" t="s">
        <v>236</v>
      </c>
      <c r="G7" s="67" t="s">
        <v>234</v>
      </c>
      <c r="H7" s="67" t="s">
        <v>235</v>
      </c>
      <c r="I7" s="67" t="s">
        <v>236</v>
      </c>
      <c r="J7" s="67" t="s">
        <v>234</v>
      </c>
      <c r="K7" s="67" t="s">
        <v>235</v>
      </c>
      <c r="L7" s="67" t="s">
        <v>236</v>
      </c>
    </row>
    <row r="8" spans="1:31">
      <c r="A8">
        <v>0</v>
      </c>
      <c r="B8" s="1">
        <f>10^A8</f>
        <v>1</v>
      </c>
      <c r="C8" s="1">
        <f>2*PI()*B8</f>
        <v>6.2831853071795862</v>
      </c>
      <c r="D8" s="68" t="str">
        <f>IMPRODUCT(COMPLEX(1/(Kff*(Rcs+Rs)),0),IMDIV(COMPLEX(1,0),COMPLEX(1,(C8*Lm)/(Rcs+Rs))))</f>
        <v>2908.63159639963-36.5509426209929i</v>
      </c>
      <c r="E8" s="1">
        <f>20*LOG10(IMABS(D8))</f>
        <v>69.274460107020545</v>
      </c>
      <c r="F8" s="1">
        <f>IMARGUMENT(D8)*(180/PI())</f>
        <v>-0.71996210430958318</v>
      </c>
      <c r="G8" s="1" t="str">
        <f>IMPRODUCT(COMPLEX(-(gm*Acs*Rcs)/(IL_Comp_Ccomp+IL_Comp_Chf),0),IMDIV(COMPLEX(1,C8*IL_Comp_Rcomp*IL_Comp_Ccomp),IMPRODUCT(COMPLEX(0,C8),COMPLEX(1,C8*IL_Comp_Rcomp*((IL_Comp_Ccomp*IL_Comp_Chf)/(IL_Comp_Ccomp+IL_Comp_Chf))))))</f>
        <v>-0.0621747404781337+187.241110145499i</v>
      </c>
      <c r="H8" s="1">
        <f>20*LOG(IMABS(G8))</f>
        <v>45.448024626435107</v>
      </c>
      <c r="I8" s="1">
        <f>IMARGUMENT(G8)*(180/PI())</f>
        <v>90.019025469823475</v>
      </c>
      <c r="J8" s="1" t="str">
        <f>IMPRODUCT(D8,G8)</f>
        <v>6662.9956585665+544617.681659513i</v>
      </c>
      <c r="K8" s="1">
        <f>20*LOG(IMABS(J8))</f>
        <v>114.72248473345564</v>
      </c>
      <c r="L8" s="1">
        <f>IMARGUMENT(J8)*(180/PI())</f>
        <v>89.299063365513902</v>
      </c>
      <c r="AB8" t="s">
        <v>83</v>
      </c>
      <c r="AC8" t="s">
        <v>250</v>
      </c>
      <c r="AD8" t="s">
        <v>251</v>
      </c>
      <c r="AE8" t="s">
        <v>235</v>
      </c>
    </row>
    <row r="9" spans="1:31">
      <c r="A9" s="121">
        <f>1/9</f>
        <v>0.1111111111111111</v>
      </c>
      <c r="B9" s="1">
        <f t="shared" ref="B9:B62" si="0">10^A9</f>
        <v>1.2915496650148839</v>
      </c>
      <c r="C9" s="1">
        <f t="shared" ref="C9:C62" si="1">2*PI()*B9</f>
        <v>8.1150458787142341</v>
      </c>
      <c r="D9" s="68" t="str">
        <f t="shared" ref="D9:D39" si="2">IMPRODUCT(COMPLEX(1/(Kff*(Rcs+Rs)),0),IMDIV(COMPLEX(1,0),COMPLEX(1,(C9*Lm)/(Rcs+Rs))))</f>
        <v>2908.32481015621-47.202378529241i</v>
      </c>
      <c r="E9" s="1">
        <f t="shared" ref="E9:E62" si="3">20*LOG10(IMABS(D9))</f>
        <v>69.274002013256549</v>
      </c>
      <c r="F9" s="1">
        <f t="shared" ref="F9:F62" si="4">IMARGUMENT(D9)*(180/PI())</f>
        <v>-0.92983412018777478</v>
      </c>
      <c r="G9" s="1" t="str">
        <f t="shared" ref="G9:G39" si="5">IMPRODUCT(COMPLEX(-(gm*Acs*Rcs)/(IL_Comp_Ccomp+IL_Comp_Chf),0),IMDIV(COMPLEX(1,C9*IL_Comp_Rcomp*IL_Comp_Ccomp),IMPRODUCT(COMPLEX(0,C9),COMPLEX(1,C9*IL_Comp_Rcomp*((IL_Comp_Ccomp*IL_Comp_Chf)/(IL_Comp_Ccomp+IL_Comp_Chf))))))</f>
        <v>-0.0621747404739278+144.973991814183i</v>
      </c>
      <c r="H9" s="1">
        <f t="shared" ref="H9:H62" si="6">20*LOG(IMABS(G9))</f>
        <v>43.225802743529982</v>
      </c>
      <c r="I9" s="1">
        <f t="shared" ref="I9:I62" si="7">IMARGUMENT(G9)*(180/PI())</f>
        <v>90.024572338517359</v>
      </c>
      <c r="J9" s="1" t="str">
        <f t="shared" ref="J9:J62" si="8">IMPRODUCT(D9,G9)</f>
        <v>6662.2928982228+421634.392016207i</v>
      </c>
      <c r="K9" s="1">
        <f t="shared" ref="K9:K62" si="9">20*LOG(IMABS(J9))</f>
        <v>112.49980475678653</v>
      </c>
      <c r="L9" s="1">
        <f t="shared" ref="L9:L62" si="10">IMARGUMENT(J9)*(180/PI())</f>
        <v>89.094738218329596</v>
      </c>
      <c r="Z9" t="s">
        <v>247</v>
      </c>
      <c r="AB9">
        <f>Calculations!B170*1000</f>
        <v>79.577471545947674</v>
      </c>
      <c r="AC9">
        <f>2*PI()*AB9</f>
        <v>500</v>
      </c>
      <c r="AD9" t="str">
        <f>IMPRODUCT(IMPRODUCT(COMPLEX(1/(Kff*(Rcs+(Calculations!$B$168/1000))),0),IMDIV(COMPLEX(1,0),COMPLEX(1,(AC9*Lm)/(Rcs+(Calculations!$B$168/1000))))),IMPRODUCT(COMPLEX(-(gm*Acs*Rcs)/(IL_Comp_Ccomp+IL_Comp_Chf),0),IMDIV(COMPLEX(1,AC9*IL_Comp_Rcomp*IL_Comp_Ccomp),IMPRODUCT(COMPLEX(0,AC9),COMPLEX(1,AC9*IL_Comp_Rcomp*((IL_Comp_Ccomp*IL_Comp_Chf)/(IL_Comp_Ccomp+IL_Comp_Chf)))))))</f>
        <v>3332.09638011392+3512.96823646139i</v>
      </c>
      <c r="AE9">
        <f>20*LOG10(IMABS(AD9))</f>
        <v>73.700282322035434</v>
      </c>
    </row>
    <row r="10" spans="1:31">
      <c r="A10" s="121">
        <f>2/9</f>
        <v>0.22222222222222221</v>
      </c>
      <c r="B10" s="1">
        <f t="shared" si="0"/>
        <v>1.6681005372000588</v>
      </c>
      <c r="C10" s="1">
        <f t="shared" si="1"/>
        <v>10.480984786233785</v>
      </c>
      <c r="D10" s="68" t="str">
        <f t="shared" si="2"/>
        <v>2907.81320384834-60.9534919014883i</v>
      </c>
      <c r="E10" s="1">
        <f t="shared" si="3"/>
        <v>69.273237974313687</v>
      </c>
      <c r="F10" s="1">
        <f t="shared" si="4"/>
        <v>-1.2008565202685735</v>
      </c>
      <c r="G10" s="1" t="str">
        <f t="shared" si="5"/>
        <v>-0.0621747404669119+112.248097213012i</v>
      </c>
      <c r="H10" s="1">
        <f t="shared" si="6"/>
        <v>41.003581087322694</v>
      </c>
      <c r="I10" s="1">
        <f t="shared" si="7"/>
        <v>90.031736394159026</v>
      </c>
      <c r="J10" s="1" t="str">
        <f t="shared" si="8"/>
        <v>6661.12095315527+326400.288950388i</v>
      </c>
      <c r="K10" s="1">
        <f t="shared" si="9"/>
        <v>110.27681906163639</v>
      </c>
      <c r="L10" s="1">
        <f t="shared" si="10"/>
        <v>88.830879873890467</v>
      </c>
      <c r="Z10" t="s">
        <v>248</v>
      </c>
      <c r="AB10">
        <f>Calculations!B182*1000</f>
        <v>2922.955795994405</v>
      </c>
      <c r="AC10">
        <f>2*PI()*AB10</f>
        <v>18365.472910927456</v>
      </c>
      <c r="AD10" t="str">
        <f>IMPRODUCT(IMPRODUCT(COMPLEX(1/(Kff*(Rcs+(Calculations!$B$168/1000))),0),IMDIV(COMPLEX(1,0),COMPLEX(1,(AC10*Lm)/(Rcs+(Calculations!$B$168/1000))))),IMPRODUCT(COMPLEX(-(gm*Acs*Rcs)/(IL_Comp_Ccomp+IL_Comp_Chf),0),IMDIV(COMPLEX(1,AC10*IL_Comp_Rcomp*IL_Comp_Ccomp),IMPRODUCT(COMPLEX(0,AC10),COMPLEX(1,AC10*IL_Comp_Rcomp*((IL_Comp_Ccomp*IL_Comp_Chf)/(IL_Comp_Ccomp+IL_Comp_Chf)))))))</f>
        <v>5.08045203536985+5.05829871202161i</v>
      </c>
      <c r="AE10">
        <f>20*LOG10(IMABS(AD10))</f>
        <v>17.109409706263872</v>
      </c>
    </row>
    <row r="11" spans="1:31">
      <c r="A11" s="121">
        <f>3/9</f>
        <v>0.33333333333333331</v>
      </c>
      <c r="B11" s="1">
        <f t="shared" si="0"/>
        <v>2.1544346900318838</v>
      </c>
      <c r="C11" s="1">
        <f t="shared" si="1"/>
        <v>13.536712389686338</v>
      </c>
      <c r="D11" s="68" t="str">
        <f t="shared" si="2"/>
        <v>2906.96019352065-78.7013681359119i</v>
      </c>
      <c r="E11" s="1">
        <f t="shared" si="3"/>
        <v>69.271963779583587</v>
      </c>
      <c r="F11" s="1">
        <f t="shared" si="4"/>
        <v>-1.5508141506010311</v>
      </c>
      <c r="G11" s="1" t="str">
        <f t="shared" si="5"/>
        <v>-0.0621747404552092+86.909625661937i</v>
      </c>
      <c r="H11" s="1">
        <f t="shared" si="6"/>
        <v>38.781359809270171</v>
      </c>
      <c r="I11" s="1">
        <f t="shared" si="7"/>
        <v>90.040989126181913</v>
      </c>
      <c r="J11" s="1" t="str">
        <f t="shared" si="8"/>
        <v>6659.16694822863+252647.715470169i</v>
      </c>
      <c r="K11" s="1">
        <f t="shared" si="9"/>
        <v>108.05332358885377</v>
      </c>
      <c r="L11" s="1">
        <f t="shared" si="10"/>
        <v>88.490174975580885</v>
      </c>
      <c r="Z11" t="s">
        <v>249</v>
      </c>
      <c r="AB11">
        <f>Calculations!B183*1000</f>
        <v>96457.541267815352</v>
      </c>
      <c r="AC11">
        <f>2*PI()*AB11</f>
        <v>606060.60606060596</v>
      </c>
      <c r="AD11" t="str">
        <f>IMPRODUCT(IMPRODUCT(COMPLEX(1/(Kff*(Rcs+(Calculations!$B$168/1000))),0),IMDIV(COMPLEX(1,0),COMPLEX(1,(AC11*Lm)/(Rcs+(Calculations!$B$168/1000))))),IMPRODUCT(COMPLEX(-(gm*Acs*Rcs)/(IL_Comp_Ccomp+IL_Comp_Chf),0),IMDIV(COMPLEX(1,AC11*IL_Comp_Rcomp*IL_Comp_Ccomp),IMPRODUCT(COMPLEX(0,AC11),COMPLEX(1,AC11*IL_Comp_Rcomp*((IL_Comp_Ccomp*IL_Comp_Chf)/(IL_Comp_Ccomp+IL_Comp_Chf)))))))</f>
        <v>0.0791718345234698+0.0769016642022344i</v>
      </c>
      <c r="AE11">
        <f>20*LOG10(IMABS(AD11))</f>
        <v>-19.142797884833506</v>
      </c>
    </row>
    <row r="12" spans="1:31">
      <c r="A12" s="121">
        <f>4/9</f>
        <v>0.44444444444444442</v>
      </c>
      <c r="B12" s="1">
        <f t="shared" si="0"/>
        <v>2.7825594022071245</v>
      </c>
      <c r="C12" s="1">
        <f t="shared" si="1"/>
        <v>17.483336352302217</v>
      </c>
      <c r="D12" s="68" t="str">
        <f t="shared" si="2"/>
        <v>2905.53839968563-101.597010252468i</v>
      </c>
      <c r="E12" s="1">
        <f t="shared" si="3"/>
        <v>69.269839126237457</v>
      </c>
      <c r="F12" s="1">
        <f t="shared" si="4"/>
        <v>-2.0026268528078668</v>
      </c>
      <c r="G12" s="1" t="str">
        <f t="shared" si="5"/>
        <v>-0.0621747404356872+67.2909675226807i</v>
      </c>
      <c r="H12" s="1">
        <f t="shared" si="6"/>
        <v>36.559139162017402</v>
      </c>
      <c r="I12" s="1">
        <f t="shared" si="7"/>
        <v>90.052939485590514</v>
      </c>
      <c r="J12" s="1" t="str">
        <f t="shared" si="8"/>
        <v>6655.91002147391+195522.806856889i</v>
      </c>
      <c r="K12" s="1">
        <f t="shared" si="9"/>
        <v>105.82897828825486</v>
      </c>
      <c r="L12" s="1">
        <f t="shared" si="10"/>
        <v>88.050312632782664</v>
      </c>
    </row>
    <row r="13" spans="1:31">
      <c r="A13" s="121">
        <f>5/9</f>
        <v>0.55555555555555558</v>
      </c>
      <c r="B13" s="1">
        <f t="shared" si="0"/>
        <v>3.5938136638046281</v>
      </c>
      <c r="C13" s="1">
        <f t="shared" si="1"/>
        <v>22.580597209158476</v>
      </c>
      <c r="D13" s="68" t="str">
        <f t="shared" si="2"/>
        <v>2903.16979708788-131.110615635672i</v>
      </c>
      <c r="E13" s="1">
        <f t="shared" si="3"/>
        <v>69.266297302271823</v>
      </c>
      <c r="F13" s="1">
        <f t="shared" si="4"/>
        <v>-2.5857888586992179</v>
      </c>
      <c r="G13" s="1" t="str">
        <f t="shared" si="5"/>
        <v>-0.0621747404031228+52.1009532257956i</v>
      </c>
      <c r="H13" s="1">
        <f t="shared" si="6"/>
        <v>34.33691956700131</v>
      </c>
      <c r="I13" s="1">
        <f t="shared" si="7"/>
        <v>90.06837396066345</v>
      </c>
      <c r="J13" s="1" t="str">
        <f t="shared" si="8"/>
        <v>6650.48422415929+151266.065573109i</v>
      </c>
      <c r="K13" s="1">
        <f t="shared" si="9"/>
        <v>103.6032168692731</v>
      </c>
      <c r="L13" s="1">
        <f t="shared" si="10"/>
        <v>87.482585101964247</v>
      </c>
    </row>
    <row r="14" spans="1:31">
      <c r="A14" s="121">
        <f>6/9</f>
        <v>0.66666666666666663</v>
      </c>
      <c r="B14" s="1">
        <f t="shared" si="0"/>
        <v>4.6415888336127793</v>
      </c>
      <c r="C14" s="1">
        <f t="shared" si="1"/>
        <v>29.163962761324647</v>
      </c>
      <c r="D14" s="68" t="str">
        <f t="shared" si="2"/>
        <v>2899.22731189161-169.105914721245i</v>
      </c>
      <c r="E14" s="1">
        <f t="shared" si="3"/>
        <v>69.260395604070027</v>
      </c>
      <c r="F14" s="1">
        <f t="shared" si="4"/>
        <v>-3.3381617496959461</v>
      </c>
      <c r="G14" s="1" t="str">
        <f t="shared" si="5"/>
        <v>-0.0621747403488025+40.3398770788536i</v>
      </c>
      <c r="H14" s="1">
        <f t="shared" si="6"/>
        <v>32.11470172721954</v>
      </c>
      <c r="I14" s="1">
        <f t="shared" si="7"/>
        <v>90.088308335360978</v>
      </c>
      <c r="J14" s="1" t="str">
        <f t="shared" si="8"/>
        <v>6641.4531078331+116964.987501702i</v>
      </c>
      <c r="K14" s="1">
        <f t="shared" si="9"/>
        <v>101.37509733128957</v>
      </c>
      <c r="L14" s="1">
        <f t="shared" si="10"/>
        <v>86.750146585665036</v>
      </c>
    </row>
    <row r="15" spans="1:31">
      <c r="A15" s="121">
        <f>7/9</f>
        <v>0.77777777777777779</v>
      </c>
      <c r="B15" s="1">
        <f t="shared" si="0"/>
        <v>5.9948425031894104</v>
      </c>
      <c r="C15" s="1">
        <f t="shared" si="1"/>
        <v>37.666706334895395</v>
      </c>
      <c r="D15" s="68" t="str">
        <f t="shared" si="2"/>
        <v>2892.67462461076-217.915051215234i</v>
      </c>
      <c r="E15" s="1">
        <f t="shared" si="3"/>
        <v>69.250568790104325</v>
      </c>
      <c r="F15" s="1">
        <f t="shared" si="4"/>
        <v>-4.3081491404853356</v>
      </c>
      <c r="G15" s="1" t="str">
        <f t="shared" si="5"/>
        <v>-0.0621747402581898+31.2337032881164i</v>
      </c>
      <c r="H15" s="1">
        <f t="shared" si="6"/>
        <v>29.892486815338692</v>
      </c>
      <c r="I15" s="1">
        <f t="shared" si="7"/>
        <v>90.114054534963998</v>
      </c>
      <c r="J15" s="1" t="str">
        <f t="shared" si="8"/>
        <v>6626.44275823468+90362.4897458636i</v>
      </c>
      <c r="K15" s="1">
        <f t="shared" si="9"/>
        <v>99.14305560544301</v>
      </c>
      <c r="L15" s="1">
        <f t="shared" si="10"/>
        <v>85.805905394478657</v>
      </c>
    </row>
    <row r="16" spans="1:31">
      <c r="A16" s="121">
        <f>8/9</f>
        <v>0.88888888888888884</v>
      </c>
      <c r="B16" s="1">
        <f t="shared" si="0"/>
        <v>7.7426368268112711</v>
      </c>
      <c r="C16" s="1">
        <f t="shared" si="1"/>
        <v>48.648421949048156</v>
      </c>
      <c r="D16" s="68" t="str">
        <f t="shared" si="2"/>
        <v>2881.8097503731-280.390993426064i</v>
      </c>
      <c r="E16" s="1">
        <f t="shared" si="3"/>
        <v>69.234225995874624</v>
      </c>
      <c r="F16" s="1">
        <f t="shared" si="4"/>
        <v>-5.55720647530904</v>
      </c>
      <c r="G16" s="1" t="str">
        <f t="shared" si="5"/>
        <v>-0.0621747401070396+24.183124071714i</v>
      </c>
      <c r="H16" s="1">
        <f t="shared" si="6"/>
        <v>27.670276787473412</v>
      </c>
      <c r="I16" s="1">
        <f t="shared" si="7"/>
        <v>90.147306954256521</v>
      </c>
      <c r="J16" s="1" t="str">
        <f t="shared" si="8"/>
        <v>6601.55441034627+69708.5959814925i</v>
      </c>
      <c r="K16" s="1">
        <f t="shared" si="9"/>
        <v>96.90450278334805</v>
      </c>
      <c r="L16" s="1">
        <f t="shared" si="10"/>
        <v>84.590100478947491</v>
      </c>
    </row>
    <row r="17" spans="1:12">
      <c r="A17" s="121">
        <f>1+A8</f>
        <v>1</v>
      </c>
      <c r="B17" s="1">
        <f t="shared" si="0"/>
        <v>10</v>
      </c>
      <c r="C17" s="1">
        <f t="shared" si="1"/>
        <v>62.831853071795862</v>
      </c>
      <c r="D17" s="68" t="str">
        <f t="shared" si="2"/>
        <v>2863.86654137745-359.884083490121i</v>
      </c>
      <c r="E17" s="1">
        <f t="shared" si="3"/>
        <v>69.207100687759151</v>
      </c>
      <c r="F17" s="1">
        <f t="shared" si="4"/>
        <v>-7.1624558067258368</v>
      </c>
      <c r="G17" s="1" t="str">
        <f t="shared" si="5"/>
        <v>-0.0621747398549057+18.7241172082191i</v>
      </c>
      <c r="H17" s="1">
        <f t="shared" si="6"/>
        <v>25.448074906588232</v>
      </c>
      <c r="I17" s="1">
        <f t="shared" si="7"/>
        <v>90.190253941130507</v>
      </c>
      <c r="J17" s="1" t="str">
        <f t="shared" si="8"/>
        <v>6560.45160345222+53645.7484887173i</v>
      </c>
      <c r="K17" s="1">
        <f t="shared" si="9"/>
        <v>94.655175594347384</v>
      </c>
      <c r="L17" s="1">
        <f t="shared" si="10"/>
        <v>83.027798134404662</v>
      </c>
    </row>
    <row r="18" spans="1:12">
      <c r="A18" s="121">
        <f t="shared" ref="A18:A62" si="11">1+A9</f>
        <v>1.1111111111111112</v>
      </c>
      <c r="B18" s="1">
        <f t="shared" si="0"/>
        <v>12.915496650148844</v>
      </c>
      <c r="C18" s="1">
        <f t="shared" si="1"/>
        <v>81.150458787142384</v>
      </c>
      <c r="D18" s="68" t="str">
        <f t="shared" si="2"/>
        <v>2834.42758584675-460.030197980791i</v>
      </c>
      <c r="E18" s="1">
        <f t="shared" si="3"/>
        <v>69.162226592447496</v>
      </c>
      <c r="F18" s="1">
        <f t="shared" si="4"/>
        <v>-9.2187727668206918</v>
      </c>
      <c r="G18" s="1" t="str">
        <f t="shared" si="5"/>
        <v>-0.0621747394343211+14.4974071808496i</v>
      </c>
      <c r="H18" s="1">
        <f t="shared" si="6"/>
        <v>23.225886615548919</v>
      </c>
      <c r="I18" s="1">
        <f t="shared" si="7"/>
        <v>90.245721754049683</v>
      </c>
      <c r="J18" s="1" t="str">
        <f t="shared" si="8"/>
        <v>6493.01529901891+41120.4530943442i</v>
      </c>
      <c r="K18" s="1">
        <f t="shared" si="9"/>
        <v>92.388113207996398</v>
      </c>
      <c r="L18" s="1">
        <f t="shared" si="10"/>
        <v>81.026948987228977</v>
      </c>
    </row>
    <row r="19" spans="1:12">
      <c r="A19" s="121">
        <f t="shared" si="11"/>
        <v>1.2222222222222223</v>
      </c>
      <c r="B19" s="1">
        <f t="shared" si="0"/>
        <v>16.681005372000598</v>
      </c>
      <c r="C19" s="1">
        <f t="shared" si="1"/>
        <v>104.8098478623379</v>
      </c>
      <c r="D19" s="68" t="str">
        <f t="shared" si="2"/>
        <v>2786.64458447607-584.135589890691i</v>
      </c>
      <c r="E19" s="1">
        <f t="shared" si="3"/>
        <v>69.088388744175703</v>
      </c>
      <c r="F19" s="1">
        <f t="shared" si="4"/>
        <v>-11.838908039836076</v>
      </c>
      <c r="G19" s="1" t="str">
        <f t="shared" si="5"/>
        <v>-0.0621747387327435+11.2248200529639i</v>
      </c>
      <c r="H19" s="1">
        <f t="shared" si="6"/>
        <v>21.003720993360147</v>
      </c>
      <c r="I19" s="1">
        <f t="shared" si="7"/>
        <v>90.317360427467989</v>
      </c>
      <c r="J19" s="1" t="str">
        <f t="shared" si="8"/>
        <v>6383.55798407411+31315.9024899962i</v>
      </c>
      <c r="K19" s="1">
        <f t="shared" si="9"/>
        <v>90.09210973753585</v>
      </c>
      <c r="L19" s="1">
        <f t="shared" si="10"/>
        <v>78.478452387631918</v>
      </c>
    </row>
    <row r="20" spans="1:12">
      <c r="A20" s="121">
        <f t="shared" si="11"/>
        <v>1.3333333333333333</v>
      </c>
      <c r="B20" s="1">
        <f t="shared" si="0"/>
        <v>21.544346900318843</v>
      </c>
      <c r="C20" s="1">
        <f t="shared" si="1"/>
        <v>135.3671238968634</v>
      </c>
      <c r="D20" s="68" t="str">
        <f t="shared" si="2"/>
        <v>2710.42481236868-733.804822778086i</v>
      </c>
      <c r="E20" s="1">
        <f t="shared" si="3"/>
        <v>68.967946575448337</v>
      </c>
      <c r="F20" s="1">
        <f t="shared" si="4"/>
        <v>-15.148778702491143</v>
      </c>
      <c r="G20" s="1" t="str">
        <f t="shared" si="5"/>
        <v>-0.0621747375624419+8.69097591004899i</v>
      </c>
      <c r="H20" s="1">
        <f t="shared" si="6"/>
        <v>18.781593184039902</v>
      </c>
      <c r="I20" s="1">
        <f t="shared" si="7"/>
        <v>90.409883690971853</v>
      </c>
      <c r="J20" s="1" t="str">
        <f t="shared" si="8"/>
        <v>6208.96008605036+23601.8608725735i</v>
      </c>
      <c r="K20" s="1">
        <f t="shared" si="9"/>
        <v>87.749539759488243</v>
      </c>
      <c r="L20" s="1">
        <f t="shared" si="10"/>
        <v>75.261104988480682</v>
      </c>
    </row>
    <row r="21" spans="1:12">
      <c r="A21" s="121">
        <f t="shared" si="11"/>
        <v>1.4444444444444444</v>
      </c>
      <c r="B21" s="1">
        <f t="shared" si="0"/>
        <v>27.825594022071257</v>
      </c>
      <c r="C21" s="1">
        <f t="shared" si="1"/>
        <v>174.83336352302226</v>
      </c>
      <c r="D21" s="68" t="str">
        <f t="shared" si="2"/>
        <v>2592.15621208768-906.390778672774i</v>
      </c>
      <c r="E21" s="1">
        <f t="shared" si="3"/>
        <v>68.77418463201073</v>
      </c>
      <c r="F21" s="1">
        <f t="shared" si="4"/>
        <v>-19.273033196810712</v>
      </c>
      <c r="G21" s="1" t="str">
        <f t="shared" si="5"/>
        <v>-0.0621747356102607+6.72911398651937i</v>
      </c>
      <c r="H21" s="1">
        <f t="shared" si="6"/>
        <v>16.559528447454884</v>
      </c>
      <c r="I21" s="1">
        <f t="shared" si="7"/>
        <v>90.529378545368118</v>
      </c>
      <c r="J21" s="1" t="str">
        <f t="shared" si="8"/>
        <v>5938.0402388721+17499.2692290258i</v>
      </c>
      <c r="K21" s="1">
        <f t="shared" si="9"/>
        <v>85.333713079465596</v>
      </c>
      <c r="L21" s="1">
        <f t="shared" si="10"/>
        <v>71.25634534855736</v>
      </c>
    </row>
    <row r="22" spans="1:12">
      <c r="A22" s="121">
        <f t="shared" si="11"/>
        <v>1.5555555555555556</v>
      </c>
      <c r="B22" s="1">
        <f t="shared" si="0"/>
        <v>35.938136638046281</v>
      </c>
      <c r="C22" s="1">
        <f t="shared" si="1"/>
        <v>225.80597209158475</v>
      </c>
      <c r="D22" s="68" t="str">
        <f t="shared" si="2"/>
        <v>2416.28208735165-1091.22185116385i</v>
      </c>
      <c r="E22" s="1">
        <f t="shared" si="3"/>
        <v>68.469049275101298</v>
      </c>
      <c r="F22" s="1">
        <f t="shared" si="4"/>
        <v>-24.304503625401161</v>
      </c>
      <c r="G22" s="1" t="str">
        <f t="shared" si="5"/>
        <v>-0.0621747323538267+5.21011758146986i</v>
      </c>
      <c r="H22" s="1">
        <f t="shared" si="6"/>
        <v>14.337568914378876</v>
      </c>
      <c r="I22" s="1">
        <f t="shared" si="7"/>
        <v>90.683704467936835</v>
      </c>
      <c r="J22" s="1" t="str">
        <f t="shared" si="8"/>
        <v>5535.16245996043+12656.9602116363i</v>
      </c>
      <c r="K22" s="1">
        <f t="shared" si="9"/>
        <v>82.80661818948019</v>
      </c>
      <c r="L22" s="1">
        <f t="shared" si="10"/>
        <v>66.379200842535681</v>
      </c>
    </row>
    <row r="23" spans="1:12">
      <c r="A23" s="121">
        <f t="shared" si="11"/>
        <v>1.6666666666666665</v>
      </c>
      <c r="B23" s="1">
        <f t="shared" si="0"/>
        <v>46.415888336127786</v>
      </c>
      <c r="C23" s="1">
        <f t="shared" si="1"/>
        <v>291.63962761324643</v>
      </c>
      <c r="D23" s="68" t="str">
        <f t="shared" si="2"/>
        <v>2170.61559742181-1266.0750490472i</v>
      </c>
      <c r="E23" s="1">
        <f t="shared" si="3"/>
        <v>68.003402125626536</v>
      </c>
      <c r="F23" s="1">
        <f t="shared" si="4"/>
        <v>-30.254125314251191</v>
      </c>
      <c r="G23" s="1" t="str">
        <f t="shared" si="5"/>
        <v>-0.0621747269217686+4.03401645634515i</v>
      </c>
      <c r="H23" s="1">
        <f t="shared" si="6"/>
        <v>12.115784848645996</v>
      </c>
      <c r="I23" s="1">
        <f t="shared" si="7"/>
        <v>90.883007654212932</v>
      </c>
      <c r="J23" s="1" t="str">
        <f t="shared" si="8"/>
        <v>4972.41015080257+8835.01691083602i</v>
      </c>
      <c r="K23" s="1">
        <f t="shared" si="9"/>
        <v>80.119186974272537</v>
      </c>
      <c r="L23" s="1">
        <f t="shared" si="10"/>
        <v>60.628882339961727</v>
      </c>
    </row>
    <row r="24" spans="1:12">
      <c r="A24" s="121">
        <f t="shared" si="11"/>
        <v>1.7777777777777777</v>
      </c>
      <c r="B24" s="1">
        <f t="shared" si="0"/>
        <v>59.948425031894104</v>
      </c>
      <c r="C24" s="1">
        <f t="shared" si="1"/>
        <v>376.66706334895395</v>
      </c>
      <c r="D24" s="68" t="str">
        <f t="shared" si="2"/>
        <v>1855.86479744041-1398.08628644916i</v>
      </c>
      <c r="E24" s="1">
        <f t="shared" si="3"/>
        <v>67.323036271865746</v>
      </c>
      <c r="F24" s="1">
        <f t="shared" si="4"/>
        <v>-36.991962199523023</v>
      </c>
      <c r="G24" s="1" t="str">
        <f t="shared" si="5"/>
        <v>-0.0621747178605507+3.12340745886979i</v>
      </c>
      <c r="H24" s="1">
        <f t="shared" si="6"/>
        <v>9.8942934169716192</v>
      </c>
      <c r="I24" s="1">
        <f t="shared" si="7"/>
        <v>91.140382276878995</v>
      </c>
      <c r="J24" s="1" t="str">
        <f t="shared" si="8"/>
        <v>4251.40526507069+5883.54757138393i</v>
      </c>
      <c r="K24" s="1">
        <f t="shared" si="9"/>
        <v>77.217329688837367</v>
      </c>
      <c r="L24" s="1">
        <f t="shared" si="10"/>
        <v>54.148420077355944</v>
      </c>
    </row>
    <row r="25" spans="1:12">
      <c r="A25" s="121">
        <f t="shared" si="11"/>
        <v>1.8888888888888888</v>
      </c>
      <c r="B25" s="1">
        <f t="shared" si="0"/>
        <v>77.426368268112768</v>
      </c>
      <c r="C25" s="1">
        <f t="shared" si="1"/>
        <v>486.48421949048191</v>
      </c>
      <c r="D25" s="68" t="str">
        <f t="shared" si="2"/>
        <v>1494.39531130917-1453.99947326495i</v>
      </c>
      <c r="E25" s="1">
        <f t="shared" si="3"/>
        <v>66.382227894434763</v>
      </c>
      <c r="F25" s="1">
        <f t="shared" si="4"/>
        <v>-44.215041949458985</v>
      </c>
      <c r="G25" s="1" t="str">
        <f t="shared" si="5"/>
        <v>-0.062174702745535+2.41836036247379i</v>
      </c>
      <c r="H25" s="1">
        <f t="shared" si="6"/>
        <v>7.6732899527972007</v>
      </c>
      <c r="I25" s="1">
        <f t="shared" si="7"/>
        <v>91.472718272753681</v>
      </c>
      <c r="J25" s="1" t="str">
        <f t="shared" si="8"/>
        <v>3423.38110893676+3704.38837177919i</v>
      </c>
      <c r="K25" s="1">
        <f t="shared" si="9"/>
        <v>74.055517847231982</v>
      </c>
      <c r="L25" s="1">
        <f t="shared" si="10"/>
        <v>47.257676323294667</v>
      </c>
    </row>
    <row r="26" spans="1:12">
      <c r="A26" s="121">
        <f t="shared" si="11"/>
        <v>2</v>
      </c>
      <c r="B26" s="1">
        <f t="shared" si="0"/>
        <v>100</v>
      </c>
      <c r="C26" s="1">
        <f t="shared" si="1"/>
        <v>628.31853071795865</v>
      </c>
      <c r="D26" s="68" t="str">
        <f t="shared" si="2"/>
        <v>1127.93203415025-1417.40119689402i</v>
      </c>
      <c r="E26" s="1">
        <f t="shared" si="3"/>
        <v>65.160402242958895</v>
      </c>
      <c r="F26" s="1">
        <f t="shared" si="4"/>
        <v>-51.488112746033678</v>
      </c>
      <c r="G26" s="1" t="str">
        <f t="shared" si="5"/>
        <v>-0.0621746775321854+1.87247365745129i</v>
      </c>
      <c r="H26" s="1">
        <f t="shared" si="6"/>
        <v>5.4530999794141035</v>
      </c>
      <c r="I26" s="1">
        <f t="shared" si="7"/>
        <v>91.901782838238816</v>
      </c>
      <c r="J26" s="1" t="str">
        <f t="shared" si="8"/>
        <v>2583.91759272247+2200.14948369241i</v>
      </c>
      <c r="K26" s="1">
        <f t="shared" si="9"/>
        <v>70.613502222373</v>
      </c>
      <c r="L26" s="1">
        <f t="shared" si="10"/>
        <v>40.413670092205102</v>
      </c>
    </row>
    <row r="27" spans="1:12">
      <c r="A27" s="121">
        <f t="shared" si="11"/>
        <v>2.1111111111111112</v>
      </c>
      <c r="B27" s="1">
        <f t="shared" si="0"/>
        <v>129.15496650148842</v>
      </c>
      <c r="C27" s="1">
        <f t="shared" si="1"/>
        <v>811.50458787142372</v>
      </c>
      <c r="D27" s="68" t="str">
        <f t="shared" si="2"/>
        <v>800.48536169141-1299.19508707299i</v>
      </c>
      <c r="E27" s="1">
        <f t="shared" si="3"/>
        <v>63.671106876371447</v>
      </c>
      <c r="F27" s="1">
        <f t="shared" si="4"/>
        <v>-58.361138504646298</v>
      </c>
      <c r="G27" s="1" t="str">
        <f t="shared" si="5"/>
        <v>-0.0621746354738286+1.44982071226323i</v>
      </c>
      <c r="H27" s="1">
        <f t="shared" si="6"/>
        <v>3.2342656341032887</v>
      </c>
      <c r="I27" s="1">
        <f t="shared" si="7"/>
        <v>92.455588324504745</v>
      </c>
      <c r="J27" s="1" t="str">
        <f t="shared" si="8"/>
        <v>1833.83006094375+1241.33723819188i</v>
      </c>
      <c r="K27" s="1">
        <f t="shared" si="9"/>
        <v>66.90537251047472</v>
      </c>
      <c r="L27" s="1">
        <f t="shared" si="10"/>
        <v>34.094449819858454</v>
      </c>
    </row>
    <row r="28" spans="1:12">
      <c r="A28" s="121">
        <f t="shared" si="11"/>
        <v>2.2222222222222223</v>
      </c>
      <c r="B28" s="1">
        <f t="shared" si="0"/>
        <v>166.81005372000601</v>
      </c>
      <c r="C28" s="1">
        <f t="shared" si="1"/>
        <v>1048.0984786233792</v>
      </c>
      <c r="D28" s="68" t="str">
        <f t="shared" si="2"/>
        <v>539.315615218836-1130.51175161739i</v>
      </c>
      <c r="E28" s="1">
        <f t="shared" si="3"/>
        <v>61.956002880932658</v>
      </c>
      <c r="F28" s="1">
        <f t="shared" si="4"/>
        <v>-64.496318449035186</v>
      </c>
      <c r="G28" s="1" t="str">
        <f t="shared" si="5"/>
        <v>-0.0621745653163879+1.12258532163278i</v>
      </c>
      <c r="H28" s="1">
        <f t="shared" si="6"/>
        <v>1.0176888464254306</v>
      </c>
      <c r="I28" s="1">
        <f t="shared" si="7"/>
        <v>93.170097002900533</v>
      </c>
      <c r="J28" s="1" t="str">
        <f t="shared" si="8"/>
        <v>1235.56418435447+675.716870113897i</v>
      </c>
      <c r="K28" s="1">
        <f t="shared" si="9"/>
        <v>62.973691727358059</v>
      </c>
      <c r="L28" s="1">
        <f t="shared" si="10"/>
        <v>28.673778553865411</v>
      </c>
    </row>
    <row r="29" spans="1:12">
      <c r="A29" s="121">
        <f t="shared" si="11"/>
        <v>2.333333333333333</v>
      </c>
      <c r="B29" s="1">
        <f t="shared" si="0"/>
        <v>215.44346900318828</v>
      </c>
      <c r="C29" s="1">
        <f t="shared" si="1"/>
        <v>1353.6712389686331</v>
      </c>
      <c r="D29" s="68" t="str">
        <f t="shared" si="2"/>
        <v>349.243041056489-945.520520176218i</v>
      </c>
      <c r="E29" s="1">
        <f t="shared" si="3"/>
        <v>60.068850543734484</v>
      </c>
      <c r="F29" s="1">
        <f t="shared" si="4"/>
        <v>-69.727489134561623</v>
      </c>
      <c r="G29" s="1" t="str">
        <f t="shared" si="5"/>
        <v>-0.0621744482870758+0.869231028930878i</v>
      </c>
      <c r="H29" s="1">
        <f t="shared" si="6"/>
        <v>-1.1951325517547369</v>
      </c>
      <c r="I29" s="1">
        <f t="shared" si="7"/>
        <v>94.091290643607891</v>
      </c>
      <c r="J29" s="1" t="str">
        <f t="shared" si="8"/>
        <v>800.161781232245+362.360104610546i</v>
      </c>
      <c r="K29" s="1">
        <f t="shared" si="9"/>
        <v>58.873717991979746</v>
      </c>
      <c r="L29" s="1">
        <f t="shared" si="10"/>
        <v>24.363801509046294</v>
      </c>
    </row>
    <row r="30" spans="1:12">
      <c r="A30" s="121">
        <f t="shared" si="11"/>
        <v>2.4444444444444446</v>
      </c>
      <c r="B30" s="1">
        <f t="shared" si="0"/>
        <v>278.25594022071277</v>
      </c>
      <c r="C30" s="1">
        <f t="shared" si="1"/>
        <v>1748.3336352302238</v>
      </c>
      <c r="D30" s="68" t="str">
        <f t="shared" si="2"/>
        <v>219.941093996429-769.060824806578i</v>
      </c>
      <c r="E30" s="1">
        <f t="shared" si="3"/>
        <v>58.060636740846327</v>
      </c>
      <c r="F30" s="1">
        <f t="shared" si="4"/>
        <v>-74.040179979548597</v>
      </c>
      <c r="G30" s="1" t="str">
        <f t="shared" si="5"/>
        <v>-0.0621742530713975+0.673083739814004i</v>
      </c>
      <c r="H30" s="1">
        <f t="shared" si="6"/>
        <v>-3.4017184752402985</v>
      </c>
      <c r="I30" s="1">
        <f t="shared" si="7"/>
        <v>95.277563026809659</v>
      </c>
      <c r="J30" s="1" t="str">
        <f t="shared" si="8"/>
        <v>503.96766286632+195.854556434722i</v>
      </c>
      <c r="K30" s="1">
        <f t="shared" si="9"/>
        <v>54.658918265606033</v>
      </c>
      <c r="L30" s="1">
        <f t="shared" si="10"/>
        <v>21.237383047261101</v>
      </c>
    </row>
    <row r="31" spans="1:12">
      <c r="A31" s="121">
        <f t="shared" si="11"/>
        <v>2.5555555555555554</v>
      </c>
      <c r="B31" s="1">
        <f t="shared" si="0"/>
        <v>359.38136638046274</v>
      </c>
      <c r="C31" s="1">
        <f t="shared" si="1"/>
        <v>2258.0597209158473</v>
      </c>
      <c r="D31" s="68" t="str">
        <f t="shared" si="2"/>
        <v>135.968468571861-614.049844393463i</v>
      </c>
      <c r="E31" s="1">
        <f t="shared" si="3"/>
        <v>55.971954992307779</v>
      </c>
      <c r="F31" s="1">
        <f t="shared" si="4"/>
        <v>-77.514506826448596</v>
      </c>
      <c r="G31" s="1" t="str">
        <f t="shared" si="5"/>
        <v>-0.0621739274347475+0.521234344139668i</v>
      </c>
      <c r="H31" s="1">
        <f t="shared" si="6"/>
        <v>-5.5979826266518709</v>
      </c>
      <c r="I31" s="1">
        <f t="shared" si="7"/>
        <v>96.80222126688183</v>
      </c>
      <c r="J31" s="1" t="str">
        <f t="shared" si="8"/>
        <v>311.610174213091+109.049326006366i</v>
      </c>
      <c r="K31" s="1">
        <f t="shared" si="9"/>
        <v>50.373972365655895</v>
      </c>
      <c r="L31" s="1">
        <f t="shared" si="10"/>
        <v>19.287714440433223</v>
      </c>
    </row>
    <row r="32" spans="1:12">
      <c r="A32" s="121">
        <f t="shared" si="11"/>
        <v>2.6666666666666665</v>
      </c>
      <c r="B32" s="1">
        <f t="shared" si="0"/>
        <v>464.15888336127819</v>
      </c>
      <c r="C32" s="1">
        <f t="shared" si="1"/>
        <v>2916.3962761324665</v>
      </c>
      <c r="D32" s="68" t="str">
        <f t="shared" si="2"/>
        <v>83.0659305753234-484.506341206703i</v>
      </c>
      <c r="E32" s="1">
        <f t="shared" si="3"/>
        <v>53.831802279320613</v>
      </c>
      <c r="F32" s="1">
        <f t="shared" si="4"/>
        <v>-80.271536800313655</v>
      </c>
      <c r="G32" s="1" t="str">
        <f t="shared" si="5"/>
        <v>-0.0621733842476677+0.403689123962083i</v>
      </c>
      <c r="H32" s="1">
        <f t="shared" si="6"/>
        <v>-7.7772470865817658</v>
      </c>
      <c r="I32" s="1">
        <f t="shared" si="7"/>
        <v>98.755502130630333</v>
      </c>
      <c r="J32" s="1" t="str">
        <f t="shared" si="8"/>
        <v>190.425450416258+63.6562116673235i</v>
      </c>
      <c r="K32" s="1">
        <f t="shared" si="9"/>
        <v>46.054555192738832</v>
      </c>
      <c r="L32" s="1">
        <f t="shared" si="10"/>
        <v>18.483965330316732</v>
      </c>
    </row>
    <row r="33" spans="1:30">
      <c r="A33" s="121">
        <f t="shared" si="11"/>
        <v>2.7777777777777777</v>
      </c>
      <c r="B33" s="1">
        <f t="shared" si="0"/>
        <v>599.48425031894124</v>
      </c>
      <c r="C33" s="1">
        <f t="shared" si="1"/>
        <v>3766.6706334895407</v>
      </c>
      <c r="D33" s="68" t="str">
        <f t="shared" si="2"/>
        <v>50.3727951181653-379.475456196757i</v>
      </c>
      <c r="E33" s="1">
        <f t="shared" si="3"/>
        <v>51.659533431005087</v>
      </c>
      <c r="F33" s="1">
        <f t="shared" si="4"/>
        <v>-82.438579443418774</v>
      </c>
      <c r="G33" s="1" t="str">
        <f t="shared" si="5"/>
        <v>-0.0621724781781286+0.312712032959593i</v>
      </c>
      <c r="H33" s="1">
        <f t="shared" si="6"/>
        <v>-9.9287453383080528</v>
      </c>
      <c r="I33" s="1">
        <f t="shared" si="7"/>
        <v>101.24474547116813</v>
      </c>
      <c r="J33" s="1" t="str">
        <f t="shared" si="8"/>
        <v>115.534739860301+39.3451086867868i</v>
      </c>
      <c r="K33" s="1">
        <f t="shared" si="9"/>
        <v>41.730788092697011</v>
      </c>
      <c r="L33" s="1">
        <f t="shared" si="10"/>
        <v>18.806166027749416</v>
      </c>
    </row>
    <row r="34" spans="1:30">
      <c r="A34" s="121">
        <f t="shared" si="11"/>
        <v>2.8888888888888888</v>
      </c>
      <c r="B34" s="1">
        <f t="shared" si="0"/>
        <v>774.26368268112776</v>
      </c>
      <c r="C34" s="1">
        <f t="shared" si="1"/>
        <v>4864.8421949048197</v>
      </c>
      <c r="D34" s="68" t="str">
        <f t="shared" si="2"/>
        <v>30.4085866398738-295.865950746153i</v>
      </c>
      <c r="E34" s="1">
        <f t="shared" si="3"/>
        <v>49.467535282098467</v>
      </c>
      <c r="F34" s="1">
        <f t="shared" si="4"/>
        <v>-84.131844280182591</v>
      </c>
      <c r="G34" s="1" t="str">
        <f t="shared" si="5"/>
        <v>-0.0621709668218107+0.242315560167989i</v>
      </c>
      <c r="H34" s="1">
        <f t="shared" si="6"/>
        <v>-12.035501466611711</v>
      </c>
      <c r="I34" s="1">
        <f t="shared" si="7"/>
        <v>104.38999636391812</v>
      </c>
      <c r="J34" s="1" t="str">
        <f t="shared" si="8"/>
        <v>69.802392358603+25.7627459131004i</v>
      </c>
      <c r="K34" s="1">
        <f t="shared" si="9"/>
        <v>37.432033815486761</v>
      </c>
      <c r="L34" s="1">
        <f t="shared" si="10"/>
        <v>20.258152083735524</v>
      </c>
    </row>
    <row r="35" spans="1:30">
      <c r="A35" s="121">
        <f t="shared" si="11"/>
        <v>3</v>
      </c>
      <c r="B35" s="1">
        <f t="shared" si="0"/>
        <v>1000</v>
      </c>
      <c r="C35" s="1">
        <f t="shared" si="1"/>
        <v>6283.1853071795858</v>
      </c>
      <c r="D35" s="68" t="str">
        <f t="shared" si="2"/>
        <v>18.3061086025474-230.04134520632i</v>
      </c>
      <c r="E35" s="1">
        <f t="shared" si="3"/>
        <v>47.263533276843532</v>
      </c>
      <c r="F35" s="1">
        <f t="shared" si="4"/>
        <v>-85.450134690878926</v>
      </c>
      <c r="G35" s="1" t="str">
        <f t="shared" si="5"/>
        <v>-0.0621684458910341+0.187866669340242i</v>
      </c>
      <c r="H35" s="1">
        <f t="shared" si="6"/>
        <v>-14.071706130323507</v>
      </c>
      <c r="I35" s="1">
        <f t="shared" si="7"/>
        <v>108.31030457869423</v>
      </c>
      <c r="J35" s="1" t="str">
        <f t="shared" si="8"/>
        <v>42.0790390123273+17.7404205739011i</v>
      </c>
      <c r="K35" s="1">
        <f t="shared" si="9"/>
        <v>33.191827146520019</v>
      </c>
      <c r="L35" s="1">
        <f t="shared" si="10"/>
        <v>22.860169887815275</v>
      </c>
    </row>
    <row r="36" spans="1:30">
      <c r="A36" s="121">
        <f t="shared" si="11"/>
        <v>3.1111111111111112</v>
      </c>
      <c r="B36" s="1">
        <f t="shared" si="0"/>
        <v>1291.5496650148843</v>
      </c>
      <c r="C36" s="1">
        <f t="shared" si="1"/>
        <v>8115.0458787142379</v>
      </c>
      <c r="D36" s="68" t="str">
        <f t="shared" si="2"/>
        <v>11.0019524020036-178.562696995379i</v>
      </c>
      <c r="E36" s="1">
        <f t="shared" si="3"/>
        <v>45.052270548814164</v>
      </c>
      <c r="F36" s="1">
        <f t="shared" si="4"/>
        <v>-86.474238008505495</v>
      </c>
      <c r="G36" s="1" t="str">
        <f t="shared" si="5"/>
        <v>-0.0621642411799657+0.145781877938143i</v>
      </c>
      <c r="H36" s="1">
        <f t="shared" si="6"/>
        <v>-16.000365776087374</v>
      </c>
      <c r="I36" s="1">
        <f t="shared" si="7"/>
        <v>113.09434707419722</v>
      </c>
      <c r="J36" s="1" t="str">
        <f t="shared" si="8"/>
        <v>25.3472772751173+12.704099843916i</v>
      </c>
      <c r="K36" s="1">
        <f t="shared" si="9"/>
        <v>29.05190477272679</v>
      </c>
      <c r="L36" s="1">
        <f t="shared" si="10"/>
        <v>26.620109065691679</v>
      </c>
    </row>
    <row r="37" spans="1:30">
      <c r="A37" s="121">
        <f t="shared" si="11"/>
        <v>3.2222222222222223</v>
      </c>
      <c r="B37" s="1">
        <f t="shared" si="0"/>
        <v>1668.1005372000604</v>
      </c>
      <c r="C37" s="1">
        <f t="shared" si="1"/>
        <v>10480.984786233794</v>
      </c>
      <c r="D37" s="68" t="str">
        <f t="shared" si="2"/>
        <v>6.60550266802281-138.464345937948i</v>
      </c>
      <c r="E37" s="1">
        <f t="shared" si="3"/>
        <v>42.836631654743726</v>
      </c>
      <c r="F37" s="1">
        <f t="shared" si="4"/>
        <v>-87.268750256629687</v>
      </c>
      <c r="G37" s="1" t="str">
        <f t="shared" si="5"/>
        <v>-0.0621572285647187+0.113291404559114i</v>
      </c>
      <c r="H37" s="1">
        <f t="shared" si="6"/>
        <v>-17.773234907289183</v>
      </c>
      <c r="I37" s="1">
        <f t="shared" si="7"/>
        <v>118.7513355459988</v>
      </c>
      <c r="J37" s="1" t="str">
        <f t="shared" si="8"/>
        <v>15.276240493548+9.35490667360859i</v>
      </c>
      <c r="K37" s="1">
        <f t="shared" si="9"/>
        <v>25.063396747454533</v>
      </c>
      <c r="L37" s="1">
        <f t="shared" si="10"/>
        <v>31.48258528936918</v>
      </c>
    </row>
    <row r="38" spans="1:30">
      <c r="A38" s="121">
        <f t="shared" si="11"/>
        <v>3.333333333333333</v>
      </c>
      <c r="B38" s="1">
        <f t="shared" si="0"/>
        <v>2154.4346900318833</v>
      </c>
      <c r="C38" s="1">
        <f t="shared" si="1"/>
        <v>13536.712389686336</v>
      </c>
      <c r="D38" s="68" t="str">
        <f t="shared" si="2"/>
        <v>3.96349933099799-107.305501000868i</v>
      </c>
      <c r="E38" s="1">
        <f t="shared" si="3"/>
        <v>40.61836082386214</v>
      </c>
      <c r="F38" s="1">
        <f t="shared" si="4"/>
        <v>-87.884650913053662</v>
      </c>
      <c r="G38" s="1" t="str">
        <f t="shared" si="5"/>
        <v>-0.0621455343376157+0.0882568554002844i</v>
      </c>
      <c r="H38" s="1">
        <f t="shared" si="6"/>
        <v>-19.336241256952032</v>
      </c>
      <c r="I38" s="1">
        <f t="shared" si="7"/>
        <v>125.15106127407323</v>
      </c>
      <c r="J38" s="1" t="str">
        <f t="shared" si="8"/>
        <v>9.22413230171703+7.01836368439951i</v>
      </c>
      <c r="K38" s="1">
        <f t="shared" si="9"/>
        <v>21.282119566910108</v>
      </c>
      <c r="L38" s="1">
        <f t="shared" si="10"/>
        <v>37.266410361019553</v>
      </c>
    </row>
    <row r="39" spans="1:30">
      <c r="A39" s="121">
        <f t="shared" si="11"/>
        <v>3.4444444444444446</v>
      </c>
      <c r="B39" s="1">
        <f t="shared" si="0"/>
        <v>2782.5594022071282</v>
      </c>
      <c r="C39" s="1">
        <f t="shared" si="1"/>
        <v>17483.336352302242</v>
      </c>
      <c r="D39" s="68" t="str">
        <f t="shared" si="2"/>
        <v>2.37735270804404-83.1281140455811i</v>
      </c>
      <c r="E39" s="1">
        <f t="shared" si="3"/>
        <v>38.398509123293778</v>
      </c>
      <c r="F39" s="1">
        <f t="shared" si="4"/>
        <v>-88.361863960120544</v>
      </c>
      <c r="G39" s="1" t="str">
        <f t="shared" si="5"/>
        <v>-0.06212603698013+0.0690304357324746i</v>
      </c>
      <c r="H39" s="1">
        <f t="shared" si="6"/>
        <v>-20.642486744367091</v>
      </c>
      <c r="I39" s="1">
        <f t="shared" si="7"/>
        <v>131.98659104841502</v>
      </c>
      <c r="J39" s="1" t="str">
        <f t="shared" si="8"/>
        <v>5.59067443193055+5.32852998061029i</v>
      </c>
      <c r="K39" s="1">
        <f t="shared" si="9"/>
        <v>17.756022378926684</v>
      </c>
      <c r="L39" s="1">
        <f t="shared" si="10"/>
        <v>43.624727088294478</v>
      </c>
    </row>
    <row r="40" spans="1:30">
      <c r="A40" s="121">
        <f t="shared" si="11"/>
        <v>3.5555555555555554</v>
      </c>
      <c r="B40" s="1">
        <f t="shared" si="0"/>
        <v>3593.813663804628</v>
      </c>
      <c r="C40" s="1">
        <f t="shared" si="1"/>
        <v>22580.597209158477</v>
      </c>
      <c r="D40" s="68" t="str">
        <f t="shared" ref="D40:D62" si="12">IMPRODUCT(COMPLEX(1/(Kff*(Rcs+Rs)),0),IMDIV(COMPLEX(1,0),COMPLEX(1,(C40*Lm)/(Rcs+Rs))))</f>
        <v>1.42565213252625-64.3841531299061i</v>
      </c>
      <c r="E40" s="1">
        <f t="shared" si="3"/>
        <v>36.177708612058495</v>
      </c>
      <c r="F40" s="1">
        <f t="shared" si="4"/>
        <v>-88.731512334696902</v>
      </c>
      <c r="G40" s="1" t="str">
        <f t="shared" ref="G40:G62" si="13">IMPRODUCT(COMPLEX(-(gm*Acs*Rcs)/(IL_Comp_Ccomp+IL_Comp_Chf),0),IMDIV(COMPLEX(1,C40*IL_Comp_Rcomp*IL_Comp_Ccomp),IMPRODUCT(COMPLEX(0,C40),COMPLEX(1,C40*IL_Comp_Rcomp*((IL_Comp_Ccomp*IL_Comp_Chf)/(IL_Comp_Ccomp+IL_Comp_Chf))))))</f>
        <v>-0.062093540638275+0.0543463876714709i</v>
      </c>
      <c r="H40" s="1">
        <f t="shared" si="6"/>
        <v>-21.669078867750081</v>
      </c>
      <c r="I40" s="1">
        <f t="shared" si="7"/>
        <v>138.8064771684453</v>
      </c>
      <c r="J40" s="1" t="str">
        <f t="shared" si="8"/>
        <v>3.41052235727016+4.07531907231168i</v>
      </c>
      <c r="K40" s="1">
        <f t="shared" si="9"/>
        <v>14.508629744308418</v>
      </c>
      <c r="L40" s="1">
        <f t="shared" si="10"/>
        <v>50.074964833748453</v>
      </c>
    </row>
    <row r="41" spans="1:30">
      <c r="A41" s="121">
        <f t="shared" si="11"/>
        <v>3.6666666666666665</v>
      </c>
      <c r="B41" s="1">
        <f t="shared" si="0"/>
        <v>4641.5888336127782</v>
      </c>
      <c r="C41" s="1">
        <f t="shared" si="1"/>
        <v>29163.962761324641</v>
      </c>
      <c r="D41" s="68" t="str">
        <f t="shared" si="12"/>
        <v>0.854823784627669-49.860098044752i</v>
      </c>
      <c r="E41" s="1">
        <f t="shared" si="3"/>
        <v>33.956338906369211</v>
      </c>
      <c r="F41" s="1">
        <f t="shared" si="4"/>
        <v>-89.017791798680122</v>
      </c>
      <c r="G41" s="1" t="str">
        <f t="shared" si="13"/>
        <v>-0.062039409058896+0.043237438957189i</v>
      </c>
      <c r="H41" s="1">
        <f t="shared" si="6"/>
        <v>-22.427281725905477</v>
      </c>
      <c r="I41" s="1">
        <f t="shared" si="7"/>
        <v>145.1260075836467</v>
      </c>
      <c r="J41" s="1" t="str">
        <f t="shared" si="8"/>
        <v>2.10279018316163+3.13025140952202i</v>
      </c>
      <c r="K41" s="1">
        <f t="shared" si="9"/>
        <v>11.529057180463727</v>
      </c>
      <c r="L41" s="1">
        <f t="shared" si="10"/>
        <v>56.108215784966596</v>
      </c>
    </row>
    <row r="42" spans="1:30">
      <c r="A42" s="121">
        <f t="shared" si="11"/>
        <v>3.7777777777777777</v>
      </c>
      <c r="B42" s="1">
        <f t="shared" si="0"/>
        <v>5994.8425031894185</v>
      </c>
      <c r="C42" s="1">
        <f t="shared" si="1"/>
        <v>37666.706334895447</v>
      </c>
      <c r="D42" s="68" t="str">
        <f t="shared" si="12"/>
        <v>0.5125137133296-38.6094070651858i</v>
      </c>
      <c r="E42" s="1">
        <f t="shared" si="3"/>
        <v>31.734627834625396</v>
      </c>
      <c r="F42" s="1">
        <f t="shared" si="4"/>
        <v>-89.239482023706074</v>
      </c>
      <c r="G42" s="1" t="str">
        <f t="shared" si="13"/>
        <v>-0.06194932186633+0.0349706141107882i</v>
      </c>
      <c r="H42" s="1">
        <f t="shared" si="6"/>
        <v>-22.957926397081682</v>
      </c>
      <c r="I42" s="1">
        <f t="shared" si="7"/>
        <v>150.55511642358428</v>
      </c>
      <c r="J42" s="1" t="str">
        <f t="shared" si="8"/>
        <v>1.31844479853499+2.40974950464469i</v>
      </c>
      <c r="K42" s="1">
        <f t="shared" si="9"/>
        <v>8.7767014375437213</v>
      </c>
      <c r="L42" s="1">
        <f t="shared" si="10"/>
        <v>61.315634399878228</v>
      </c>
    </row>
    <row r="43" spans="1:30">
      <c r="A43" s="121">
        <f t="shared" si="11"/>
        <v>3.8888888888888888</v>
      </c>
      <c r="B43" s="1">
        <f t="shared" si="0"/>
        <v>7742.6368268112792</v>
      </c>
      <c r="C43" s="1">
        <f t="shared" si="1"/>
        <v>48648.421949048206</v>
      </c>
      <c r="D43" s="68" t="str">
        <f t="shared" si="12"/>
        <v>0.307265580333391-29.8959712049559i</v>
      </c>
      <c r="E43" s="1">
        <f t="shared" si="3"/>
        <v>29.512712067910066</v>
      </c>
      <c r="F43" s="1">
        <f t="shared" si="4"/>
        <v>-89.411144700172656</v>
      </c>
      <c r="G43" s="1" t="str">
        <f t="shared" si="13"/>
        <v>-0.0617996281794567+0.0289978675049435i</v>
      </c>
      <c r="H43" s="1">
        <f t="shared" si="6"/>
        <v>-23.316075257967658</v>
      </c>
      <c r="I43" s="1">
        <f t="shared" si="7"/>
        <v>154.86290429356617</v>
      </c>
      <c r="J43" s="1" t="str">
        <f t="shared" si="8"/>
        <v>0.847930513315969+1.85646995111736i</v>
      </c>
      <c r="K43" s="1">
        <f t="shared" si="9"/>
        <v>6.1966368099424232</v>
      </c>
      <c r="L43" s="1">
        <f t="shared" si="10"/>
        <v>65.451759593393561</v>
      </c>
    </row>
    <row r="44" spans="1:30">
      <c r="A44" s="121">
        <f t="shared" si="11"/>
        <v>4</v>
      </c>
      <c r="B44" s="1">
        <f t="shared" si="0"/>
        <v>10000</v>
      </c>
      <c r="C44" s="1">
        <f t="shared" si="1"/>
        <v>62831.853071795864</v>
      </c>
      <c r="D44" s="68" t="str">
        <f t="shared" si="12"/>
        <v>0.184208668744937-23.1483440182661i</v>
      </c>
      <c r="E44" s="1">
        <f t="shared" si="3"/>
        <v>27.290673571305767</v>
      </c>
      <c r="F44" s="1">
        <f t="shared" si="4"/>
        <v>-89.544064297602191</v>
      </c>
      <c r="G44" s="1" t="str">
        <f t="shared" si="13"/>
        <v>-0.0615515274818217+0.0249176327495593i</v>
      </c>
      <c r="H44" s="1">
        <f t="shared" si="6"/>
        <v>-23.556127255859703</v>
      </c>
      <c r="I44" s="1">
        <f t="shared" si="7"/>
        <v>157.96063843028926</v>
      </c>
      <c r="J44" s="1" t="str">
        <f t="shared" si="8"/>
        <v>0.565463610070969+1.42940597695604i</v>
      </c>
      <c r="K44" s="1">
        <f t="shared" si="9"/>
        <v>3.7345463154460661</v>
      </c>
      <c r="L44" s="1">
        <f t="shared" si="10"/>
        <v>68.41657413268706</v>
      </c>
      <c r="AC44" t="s">
        <v>573</v>
      </c>
    </row>
    <row r="45" spans="1:30">
      <c r="A45" s="121">
        <f t="shared" si="11"/>
        <v>4.1111111111111107</v>
      </c>
      <c r="B45" s="1">
        <f t="shared" si="0"/>
        <v>12915.496650148847</v>
      </c>
      <c r="C45" s="1">
        <f t="shared" si="1"/>
        <v>81150.458787142401</v>
      </c>
      <c r="D45" s="68" t="str">
        <f t="shared" si="12"/>
        <v>0.110432996414695-17.9233766485828i</v>
      </c>
      <c r="E45" s="1">
        <f t="shared" si="3"/>
        <v>25.068561493424358</v>
      </c>
      <c r="F45" s="1">
        <f t="shared" si="4"/>
        <v>-89.646982559617314</v>
      </c>
      <c r="G45" s="1" t="str">
        <f t="shared" si="13"/>
        <v>-0.0611420740530415+0.0224434275060502i</v>
      </c>
      <c r="H45" s="1">
        <f t="shared" si="6"/>
        <v>-23.724231257469079</v>
      </c>
      <c r="I45" s="1">
        <f t="shared" si="7"/>
        <v>159.84332337061142</v>
      </c>
      <c r="J45" s="1" t="str">
        <f t="shared" si="8"/>
        <v>0.395509902031415+1.09835091727751i</v>
      </c>
      <c r="K45" s="1">
        <f t="shared" si="9"/>
        <v>1.3443302359552511</v>
      </c>
      <c r="L45" s="1">
        <f t="shared" si="10"/>
        <v>70.196340810994059</v>
      </c>
      <c r="Y45" t="s">
        <v>574</v>
      </c>
      <c r="Z45">
        <f t="array" ref="Z45">INDEX(K8:K62,(MATCH(TRUE,K8:K62&lt;0,)-1))</f>
        <v>1.3443302359552511</v>
      </c>
      <c r="AA45">
        <f t="array" ref="AA45">INDEX(K8:K62,(MATCH(TRUE,K8:K62&lt;0,)-0))</f>
        <v>-1.01133881999908</v>
      </c>
    </row>
    <row r="46" spans="1:30">
      <c r="A46" s="121">
        <f t="shared" si="11"/>
        <v>4.2222222222222223</v>
      </c>
      <c r="B46" s="1">
        <f t="shared" si="0"/>
        <v>16681.005372000593</v>
      </c>
      <c r="C46" s="1">
        <f t="shared" si="1"/>
        <v>104809.84786233788</v>
      </c>
      <c r="D46" s="68" t="str">
        <f t="shared" si="12"/>
        <v>0.0662038486371029-13.877630607112i</v>
      </c>
      <c r="E46" s="1">
        <f t="shared" si="3"/>
        <v>22.846405302338965</v>
      </c>
      <c r="F46" s="1">
        <f t="shared" si="4"/>
        <v>-89.726670031299193</v>
      </c>
      <c r="G46" s="1" t="str">
        <f t="shared" si="13"/>
        <v>-0.0604710540934453+0.0213748693166386i</v>
      </c>
      <c r="H46" s="1">
        <f t="shared" si="6"/>
        <v>-23.857744122338044</v>
      </c>
      <c r="I46" s="1">
        <f t="shared" si="7"/>
        <v>160.53288685644054</v>
      </c>
      <c r="J46" s="1" t="str">
        <f t="shared" si="8"/>
        <v>0.292629124139475+0.840610049744398i</v>
      </c>
      <c r="K46" s="1">
        <f t="shared" si="9"/>
        <v>-1.01133881999908</v>
      </c>
      <c r="L46" s="1">
        <f t="shared" si="10"/>
        <v>70.806216825141306</v>
      </c>
      <c r="Y46" t="s">
        <v>575</v>
      </c>
      <c r="Z46">
        <f t="array" ref="Z46">INDEX(B8:B62,(MATCH(TRUE,K8:K62&lt;0,)-1))</f>
        <v>12915.496650148847</v>
      </c>
      <c r="AA46">
        <f t="array" ref="AA46">INDEX(B8:B62,(MATCH(TRUE,K8:K62&lt;0,)-0))</f>
        <v>16681.005372000593</v>
      </c>
      <c r="AC46">
        <f>(Z45*AA46-Z46*AA45)/(Z45-AA45)/1000</f>
        <v>15.064392402607485</v>
      </c>
      <c r="AD46" s="236" t="str">
        <f>"Crossover Frequency = "&amp;ROUND(AC46,1)&amp;" kHz"</f>
        <v>Crossover Frequency = 15.1 kHz</v>
      </c>
    </row>
    <row r="47" spans="1:30">
      <c r="A47" s="121">
        <f t="shared" si="11"/>
        <v>4.333333333333333</v>
      </c>
      <c r="B47" s="1">
        <f t="shared" si="0"/>
        <v>21544.346900318837</v>
      </c>
      <c r="C47" s="1">
        <f t="shared" si="1"/>
        <v>135367.12389686337</v>
      </c>
      <c r="D47" s="68" t="str">
        <f t="shared" si="12"/>
        <v>0.0396885263200884-10.7450433193107i</v>
      </c>
      <c r="E47" s="1">
        <f t="shared" si="3"/>
        <v>20.624222665224686</v>
      </c>
      <c r="F47" s="1">
        <f t="shared" si="4"/>
        <v>-89.788369888856749</v>
      </c>
      <c r="G47" s="1" t="str">
        <f t="shared" si="13"/>
        <v>-0.0593839120336198+0.0215645909495748i</v>
      </c>
      <c r="H47" s="1">
        <f t="shared" si="6"/>
        <v>-23.988659781650004</v>
      </c>
      <c r="I47" s="1">
        <f t="shared" si="7"/>
        <v>160.04208625401441</v>
      </c>
      <c r="J47" s="1" t="str">
        <f t="shared" si="8"/>
        <v>0.229355603960661+0.638938574106865i</v>
      </c>
      <c r="K47" s="1">
        <f t="shared" si="9"/>
        <v>-3.3644371164253113</v>
      </c>
      <c r="L47" s="1">
        <f t="shared" si="10"/>
        <v>70.253716365157644</v>
      </c>
      <c r="Y47" t="s">
        <v>576</v>
      </c>
      <c r="Z47">
        <f t="array" ref="Z47">INDEX(L8:L62,(MATCH(TRUE,K8:K62&lt;0,)-1))</f>
        <v>70.196340810994059</v>
      </c>
      <c r="AA47">
        <f t="array" ref="AA47">INDEX(L8:L62,(MATCH(TRUE,K8:K62&lt;0,)-0))</f>
        <v>70.806216825141306</v>
      </c>
      <c r="AC47">
        <f>(Z45*AA47-Z47*AA45)/(Z45-AA45)</f>
        <v>70.54438408300193</v>
      </c>
      <c r="AD47" t="str">
        <f>"Phase Margin = "&amp;ROUND(AC47,0)&amp;"°"</f>
        <v>Phase Margin = 71°</v>
      </c>
    </row>
    <row r="48" spans="1:30">
      <c r="A48" s="121">
        <f t="shared" si="11"/>
        <v>4.4444444444444446</v>
      </c>
      <c r="B48" s="1">
        <f t="shared" si="0"/>
        <v>27825.594022071291</v>
      </c>
      <c r="C48" s="1">
        <f t="shared" si="1"/>
        <v>174833.36352302248</v>
      </c>
      <c r="D48" s="68" t="str">
        <f t="shared" si="12"/>
        <v>0.023792776455958-8.31954227069303i</v>
      </c>
      <c r="E48" s="1">
        <f t="shared" si="3"/>
        <v>18.402024173824174</v>
      </c>
      <c r="F48" s="1">
        <f t="shared" si="4"/>
        <v>-89.836142192327941</v>
      </c>
      <c r="G48" s="1" t="str">
        <f t="shared" si="13"/>
        <v>-0.0576549031356851+0.0228719211306253i</v>
      </c>
      <c r="H48" s="1">
        <f t="shared" si="6"/>
        <v>-24.148538099860207</v>
      </c>
      <c r="I48" s="1">
        <f t="shared" si="7"/>
        <v>158.36158256771242</v>
      </c>
      <c r="J48" s="1" t="str">
        <f t="shared" si="8"/>
        <v>0.188912144436297+0.480206590256624i</v>
      </c>
      <c r="K48" s="1">
        <f t="shared" si="9"/>
        <v>-5.7465139260360321</v>
      </c>
      <c r="L48" s="1">
        <f t="shared" si="10"/>
        <v>68.525440375384491</v>
      </c>
    </row>
    <row r="49" spans="1:12">
      <c r="A49" s="121">
        <f t="shared" si="11"/>
        <v>4.5555555555555554</v>
      </c>
      <c r="B49" s="1">
        <f t="shared" si="0"/>
        <v>35938.136638046322</v>
      </c>
      <c r="C49" s="1">
        <f t="shared" si="1"/>
        <v>225805.97209158502</v>
      </c>
      <c r="D49" s="68" t="str">
        <f t="shared" si="12"/>
        <v>0.0142634414798174-6.4415405374432i</v>
      </c>
      <c r="E49" s="1">
        <f t="shared" si="3"/>
        <v>16.179816177917981</v>
      </c>
      <c r="F49" s="1">
        <f t="shared" si="4"/>
        <v>-89.873130711865869</v>
      </c>
      <c r="G49" s="1" t="str">
        <f t="shared" si="13"/>
        <v>-0.0549844173326503+0.0250936493306758i</v>
      </c>
      <c r="H49" s="1">
        <f t="shared" si="6"/>
        <v>-24.3735301629182</v>
      </c>
      <c r="I49" s="1">
        <f t="shared" si="7"/>
        <v>155.46911223723507</v>
      </c>
      <c r="J49" s="1" t="str">
        <f t="shared" si="8"/>
        <v>0.160857492377006+0.354542274974705i</v>
      </c>
      <c r="K49" s="1">
        <f t="shared" si="9"/>
        <v>-8.1937139850002172</v>
      </c>
      <c r="L49" s="1">
        <f t="shared" si="10"/>
        <v>65.595981525369297</v>
      </c>
    </row>
    <row r="50" spans="1:12">
      <c r="A50" s="121">
        <f t="shared" si="11"/>
        <v>4.6666666666666661</v>
      </c>
      <c r="B50" s="1">
        <f t="shared" si="0"/>
        <v>46415.888336127755</v>
      </c>
      <c r="C50" s="1">
        <f t="shared" si="1"/>
        <v>291639.62761324627</v>
      </c>
      <c r="D50" s="68" t="str">
        <f t="shared" si="12"/>
        <v>0.008550725314-4.98746069279622i</v>
      </c>
      <c r="E50" s="1">
        <f t="shared" si="3"/>
        <v>13.957602484170511</v>
      </c>
      <c r="F50" s="1">
        <f t="shared" si="4"/>
        <v>-89.901769653450046</v>
      </c>
      <c r="G50" s="1" t="str">
        <f t="shared" si="13"/>
        <v>-0.0510408088089692+0.0278727138503261i</v>
      </c>
      <c r="H50" s="1">
        <f t="shared" si="6"/>
        <v>-24.708196754660364</v>
      </c>
      <c r="I50" s="1">
        <f t="shared" si="7"/>
        <v>151.36162708423191</v>
      </c>
      <c r="J50" s="1" t="str">
        <f t="shared" si="8"/>
        <v>0.138577628794128+0.254802359583151i</v>
      </c>
      <c r="K50" s="1">
        <f t="shared" si="9"/>
        <v>-10.750594270489856</v>
      </c>
      <c r="L50" s="1">
        <f t="shared" si="10"/>
        <v>61.459857430781945</v>
      </c>
    </row>
    <row r="51" spans="1:12">
      <c r="A51" s="121">
        <f t="shared" si="11"/>
        <v>4.7777777777777777</v>
      </c>
      <c r="B51" s="1">
        <f t="shared" si="0"/>
        <v>59948.425031894149</v>
      </c>
      <c r="C51" s="1">
        <f t="shared" si="1"/>
        <v>376667.06334895425</v>
      </c>
      <c r="D51" s="68" t="str">
        <f t="shared" si="12"/>
        <v>0.0051260311891189-3.86161422928114i</v>
      </c>
      <c r="E51" s="1">
        <f t="shared" si="3"/>
        <v>11.735385374642636</v>
      </c>
      <c r="F51" s="1">
        <f t="shared" si="4"/>
        <v>-89.923943780283679</v>
      </c>
      <c r="G51" s="1" t="str">
        <f t="shared" si="13"/>
        <v>-0.0455868037662394+0.0306222974975558i</v>
      </c>
      <c r="H51" s="1">
        <f t="shared" si="6"/>
        <v>-25.205856862051558</v>
      </c>
      <c r="I51" s="1">
        <f t="shared" si="7"/>
        <v>146.10932067819348</v>
      </c>
      <c r="J51" s="1" t="str">
        <f t="shared" si="8"/>
        <v>0.118017820371924+0.176195620943212i</v>
      </c>
      <c r="K51" s="1">
        <f t="shared" si="9"/>
        <v>-13.470471487408918</v>
      </c>
      <c r="L51" s="1">
        <f t="shared" si="10"/>
        <v>56.185376897909755</v>
      </c>
    </row>
    <row r="52" spans="1:12">
      <c r="A52" s="121">
        <f t="shared" si="11"/>
        <v>4.8888888888888893</v>
      </c>
      <c r="B52" s="1">
        <f t="shared" si="0"/>
        <v>77426.368268112885</v>
      </c>
      <c r="C52" s="1">
        <f t="shared" si="1"/>
        <v>486484.21949048265</v>
      </c>
      <c r="D52" s="68" t="str">
        <f t="shared" si="12"/>
        <v>0.00307297713323741-2.98990976435023i</v>
      </c>
      <c r="E52" s="1">
        <f t="shared" si="3"/>
        <v>9.513166217403036</v>
      </c>
      <c r="F52" s="1">
        <f t="shared" si="4"/>
        <v>-89.941112417378562</v>
      </c>
      <c r="G52" s="1" t="str">
        <f t="shared" si="13"/>
        <v>-0.0386903899059135+0.0325616143392301i</v>
      </c>
      <c r="H52" s="1">
        <f t="shared" si="6"/>
        <v>-25.922344551725089</v>
      </c>
      <c r="I52" s="1">
        <f t="shared" si="7"/>
        <v>139.91622348909127</v>
      </c>
      <c r="J52" s="1" t="str">
        <f t="shared" si="8"/>
        <v>0.0972373939724136+0.115780835662494i</v>
      </c>
      <c r="K52" s="1">
        <f t="shared" si="9"/>
        <v>-16.409178334322061</v>
      </c>
      <c r="L52" s="1">
        <f t="shared" si="10"/>
        <v>49.975111071712703</v>
      </c>
    </row>
    <row r="53" spans="1:12">
      <c r="A53" s="121">
        <f t="shared" si="11"/>
        <v>5</v>
      </c>
      <c r="B53" s="1">
        <f t="shared" si="0"/>
        <v>100000</v>
      </c>
      <c r="C53" s="1">
        <f t="shared" si="1"/>
        <v>628318.53071795858</v>
      </c>
      <c r="D53" s="68" t="str">
        <f t="shared" si="12"/>
        <v>0.00184220217236343-2.31497952444966i</v>
      </c>
      <c r="E53" s="1">
        <f t="shared" si="3"/>
        <v>7.2909458325906336</v>
      </c>
      <c r="F53" s="1">
        <f t="shared" si="4"/>
        <v>-89.954405476985315</v>
      </c>
      <c r="G53" s="1" t="str">
        <f t="shared" si="13"/>
        <v>-0.0308941865407068+0.0329591810887826i</v>
      </c>
      <c r="H53" s="1">
        <f t="shared" si="6"/>
        <v>-26.902084114625055</v>
      </c>
      <c r="I53" s="1">
        <f t="shared" si="7"/>
        <v>133.14772100901357</v>
      </c>
      <c r="J53" s="1" t="str">
        <f t="shared" si="8"/>
        <v>0.0762429160256015+0.0715801267412656i</v>
      </c>
      <c r="K53" s="1">
        <f t="shared" si="9"/>
        <v>-19.611138282034425</v>
      </c>
      <c r="L53" s="1">
        <f t="shared" si="10"/>
        <v>43.193315532028279</v>
      </c>
    </row>
    <row r="54" spans="1:12">
      <c r="A54" s="121">
        <f t="shared" si="11"/>
        <v>5.1111111111111107</v>
      </c>
      <c r="B54" s="1">
        <f t="shared" si="0"/>
        <v>129154.96650148838</v>
      </c>
      <c r="C54" s="1">
        <f t="shared" si="1"/>
        <v>811504.58787142346</v>
      </c>
      <c r="D54" s="68" t="str">
        <f t="shared" si="12"/>
        <v>0.00110437146833629-1.79240502653841i</v>
      </c>
      <c r="E54" s="1">
        <f t="shared" si="3"/>
        <v>5.0687247118670387</v>
      </c>
      <c r="F54" s="1">
        <f t="shared" si="4"/>
        <v>-89.964697813716</v>
      </c>
      <c r="G54" s="1" t="str">
        <f t="shared" si="13"/>
        <v>-0.0231222081885936+0.0314993785440965i</v>
      </c>
      <c r="H54" s="1">
        <f t="shared" si="6"/>
        <v>-28.162043774455942</v>
      </c>
      <c r="I54" s="1">
        <f t="shared" si="7"/>
        <v>126.28063640067806</v>
      </c>
      <c r="J54" s="1" t="str">
        <f t="shared" si="8"/>
        <v>0.0564341089282663+0.0414791491968372i</v>
      </c>
      <c r="K54" s="1">
        <f t="shared" si="9"/>
        <v>-23.0933190625889</v>
      </c>
      <c r="L54" s="1">
        <f t="shared" si="10"/>
        <v>36.315938586962091</v>
      </c>
    </row>
    <row r="55" spans="1:12">
      <c r="A55" s="121">
        <f t="shared" si="11"/>
        <v>5.2222222222222223</v>
      </c>
      <c r="B55" s="1">
        <f t="shared" si="0"/>
        <v>166810.05372000611</v>
      </c>
      <c r="C55" s="1">
        <f t="shared" si="1"/>
        <v>1048098.4786233798</v>
      </c>
      <c r="D55" s="68" t="str">
        <f t="shared" si="12"/>
        <v>0.000662053402432358-1.38779432771357i</v>
      </c>
      <c r="E55" s="1">
        <f t="shared" si="3"/>
        <v>2.8465031499759954</v>
      </c>
      <c r="F55" s="1">
        <f t="shared" si="4"/>
        <v>-89.972666797855737</v>
      </c>
      <c r="G55" s="1" t="str">
        <f t="shared" si="13"/>
        <v>-0.0162873726051786+0.0284608177530985i</v>
      </c>
      <c r="H55" s="1">
        <f t="shared" si="6"/>
        <v>-29.68471705768097</v>
      </c>
      <c r="I55" s="1">
        <f t="shared" si="7"/>
        <v>119.78136357902629</v>
      </c>
      <c r="J55" s="1" t="str">
        <f t="shared" si="8"/>
        <v>0.0394869783293898+0.0226223658960537i</v>
      </c>
      <c r="K55" s="1">
        <f t="shared" si="9"/>
        <v>-26.838213907704976</v>
      </c>
      <c r="L55" s="1">
        <f t="shared" si="10"/>
        <v>29.808696781170557</v>
      </c>
    </row>
    <row r="56" spans="1:12">
      <c r="A56" s="121">
        <f t="shared" si="11"/>
        <v>5.333333333333333</v>
      </c>
      <c r="B56" s="1">
        <f t="shared" si="0"/>
        <v>215443.46900318863</v>
      </c>
      <c r="C56" s="1">
        <f t="shared" si="1"/>
        <v>1353671.2389686354</v>
      </c>
      <c r="D56" s="68" t="str">
        <f t="shared" si="12"/>
        <v>0.000396890623804736-1.07451884492158i</v>
      </c>
      <c r="E56" s="1">
        <f t="shared" si="3"/>
        <v>0.62428132361200872</v>
      </c>
      <c r="F56" s="1">
        <f t="shared" si="4"/>
        <v>-89.978836893605319</v>
      </c>
      <c r="G56" s="1" t="str">
        <f t="shared" si="13"/>
        <v>-0.0109085434301337+0.0245173422048303i</v>
      </c>
      <c r="H56" s="1">
        <f t="shared" si="6"/>
        <v>-31.426093671574101</v>
      </c>
      <c r="I56" s="1">
        <f t="shared" si="7"/>
        <v>113.98579879911567</v>
      </c>
      <c r="J56" s="1" t="str">
        <f t="shared" si="8"/>
        <v>0.0263400167278746+0.0117311661895659i</v>
      </c>
      <c r="K56" s="1">
        <f t="shared" si="9"/>
        <v>-30.801812347962077</v>
      </c>
      <c r="L56" s="1">
        <f t="shared" si="10"/>
        <v>24.006961905510405</v>
      </c>
    </row>
    <row r="57" spans="1:12">
      <c r="A57" s="121">
        <f t="shared" si="11"/>
        <v>5.4444444444444446</v>
      </c>
      <c r="B57" s="1">
        <f t="shared" si="0"/>
        <v>278255.94022071268</v>
      </c>
      <c r="C57" s="1">
        <f t="shared" si="1"/>
        <v>1748333.6352302232</v>
      </c>
      <c r="D57" s="68" t="str">
        <f t="shared" si="12"/>
        <v>0.000237929691071349-0.831960963439951i</v>
      </c>
      <c r="E57" s="1">
        <f t="shared" si="3"/>
        <v>-1.5979406612994296</v>
      </c>
      <c r="F57" s="1">
        <f t="shared" si="4"/>
        <v>-89.983614175007432</v>
      </c>
      <c r="G57" s="1" t="str">
        <f t="shared" si="13"/>
        <v>-0.00703376544233929+0.0203667839518203i</v>
      </c>
      <c r="H57" s="1">
        <f t="shared" si="6"/>
        <v>-33.332202629135878</v>
      </c>
      <c r="I57" s="1">
        <f t="shared" si="7"/>
        <v>109.05259576067319</v>
      </c>
      <c r="J57" s="1" t="str">
        <f t="shared" si="8"/>
        <v>0.016942695657091+0.005856664136633i</v>
      </c>
      <c r="K57" s="1">
        <f t="shared" si="9"/>
        <v>-34.930143290435304</v>
      </c>
      <c r="L57" s="1">
        <f t="shared" si="10"/>
        <v>19.068981585665735</v>
      </c>
    </row>
    <row r="58" spans="1:12">
      <c r="A58" s="121">
        <f t="shared" si="11"/>
        <v>5.5555555555555554</v>
      </c>
      <c r="B58" s="1">
        <f t="shared" si="0"/>
        <v>359381.36638046295</v>
      </c>
      <c r="C58" s="1">
        <f t="shared" si="1"/>
        <v>2258059.7209158484</v>
      </c>
      <c r="D58" s="68" t="str">
        <f t="shared" si="12"/>
        <v>0.000142635107152897-0.644157180500943i</v>
      </c>
      <c r="E58" s="1">
        <f t="shared" si="3"/>
        <v>-3.820162741257576</v>
      </c>
      <c r="F58" s="1">
        <f t="shared" si="4"/>
        <v>-89.98731305065894</v>
      </c>
      <c r="G58" s="1" t="str">
        <f t="shared" si="13"/>
        <v>-0.00441675448960489+0.0164929487769131i</v>
      </c>
      <c r="H58" s="1">
        <f t="shared" si="6"/>
        <v>-35.353240774250857</v>
      </c>
      <c r="I58" s="1">
        <f t="shared" si="7"/>
        <v>104.99183882978804</v>
      </c>
      <c r="J58" s="1" t="str">
        <f t="shared" si="8"/>
        <v>0.0106234213980329+0.00284743659250483i</v>
      </c>
      <c r="K58" s="1">
        <f t="shared" si="9"/>
        <v>-39.173403515508454</v>
      </c>
      <c r="L58" s="1">
        <f t="shared" si="10"/>
        <v>15.004525779129132</v>
      </c>
    </row>
    <row r="59" spans="1:12">
      <c r="A59" s="121">
        <f t="shared" si="11"/>
        <v>5.6666666666666661</v>
      </c>
      <c r="B59" s="1">
        <f t="shared" si="0"/>
        <v>464158.88336127804</v>
      </c>
      <c r="C59" s="1">
        <f t="shared" si="1"/>
        <v>2916396.2761324653</v>
      </c>
      <c r="D59" s="68" t="str">
        <f t="shared" si="12"/>
        <v>0.0000855075019598796-0.498747520594365i</v>
      </c>
      <c r="E59" s="1">
        <f t="shared" si="3"/>
        <v>-6.0423848781946887</v>
      </c>
      <c r="F59" s="1">
        <f t="shared" si="4"/>
        <v>-89.990176955816906</v>
      </c>
      <c r="G59" s="1" t="str">
        <f t="shared" si="13"/>
        <v>-0.00272531470762033+0.013132043384017i</v>
      </c>
      <c r="H59" s="1">
        <f t="shared" si="6"/>
        <v>-37.450221823609276</v>
      </c>
      <c r="I59" s="1">
        <f t="shared" si="7"/>
        <v>101.7242598338899</v>
      </c>
      <c r="J59" s="1" t="str">
        <f t="shared" si="8"/>
        <v>0.00654934104326341+0.00136036684149039i</v>
      </c>
      <c r="K59" s="1">
        <f t="shared" si="9"/>
        <v>-43.492606701803965</v>
      </c>
      <c r="L59" s="1">
        <f t="shared" si="10"/>
        <v>11.734082878072975</v>
      </c>
    </row>
    <row r="60" spans="1:12">
      <c r="A60" s="121">
        <f t="shared" si="11"/>
        <v>5.7777777777777777</v>
      </c>
      <c r="B60" s="1">
        <f t="shared" si="0"/>
        <v>599484.25031894213</v>
      </c>
      <c r="C60" s="1">
        <f t="shared" si="1"/>
        <v>3766670.6334895464</v>
      </c>
      <c r="D60" s="68" t="str">
        <f t="shared" si="12"/>
        <v>0.0000512604013125236-0.386162096569545i</v>
      </c>
      <c r="E60" s="1">
        <f t="shared" si="3"/>
        <v>-8.2646070492898485</v>
      </c>
      <c r="F60" s="1">
        <f t="shared" si="4"/>
        <v>-89.992394373605819</v>
      </c>
      <c r="G60" s="1" t="str">
        <f t="shared" si="13"/>
        <v>-0.00166297826939571+0.0103437748587355i</v>
      </c>
      <c r="H60" s="1">
        <f t="shared" si="6"/>
        <v>-39.595591657718948</v>
      </c>
      <c r="I60" s="1">
        <f t="shared" si="7"/>
        <v>99.133340030155054</v>
      </c>
      <c r="J60" s="1" t="str">
        <f t="shared" si="8"/>
        <v>0.00399428854095919+0.000642709401109786i</v>
      </c>
      <c r="K60" s="1">
        <f t="shared" si="9"/>
        <v>-47.860198707008792</v>
      </c>
      <c r="L60" s="1">
        <f t="shared" si="10"/>
        <v>9.1409456565492402</v>
      </c>
    </row>
    <row r="61" spans="1:12">
      <c r="A61" s="121">
        <f t="shared" si="11"/>
        <v>5.8888888888888893</v>
      </c>
      <c r="B61" s="1">
        <f t="shared" si="0"/>
        <v>774263.68268112827</v>
      </c>
      <c r="C61" s="1">
        <f t="shared" si="1"/>
        <v>4864842.1949048229</v>
      </c>
      <c r="D61" s="68" t="str">
        <f t="shared" si="12"/>
        <v>0.0000307298034687587-0.298991289111898i</v>
      </c>
      <c r="E61" s="1">
        <f t="shared" si="3"/>
        <v>-10.486829240862258</v>
      </c>
      <c r="F61" s="1">
        <f t="shared" si="4"/>
        <v>-89.994111239685097</v>
      </c>
      <c r="G61" s="1" t="str">
        <f t="shared" si="13"/>
        <v>-0.00100772456424585+0.00809291420447296i</v>
      </c>
      <c r="H61" s="1">
        <f t="shared" si="6"/>
        <v>-41.771080300350157</v>
      </c>
      <c r="I61" s="1">
        <f t="shared" si="7"/>
        <v>97.09790024169051</v>
      </c>
      <c r="J61" s="1" t="str">
        <f t="shared" si="8"/>
        <v>0.00241967988348955+0.000301549560196585i</v>
      </c>
      <c r="K61" s="1">
        <f t="shared" si="9"/>
        <v>-52.257909541212427</v>
      </c>
      <c r="L61" s="1">
        <f t="shared" si="10"/>
        <v>7.1037890020054251</v>
      </c>
    </row>
    <row r="62" spans="1:12">
      <c r="A62" s="121">
        <f t="shared" si="11"/>
        <v>6</v>
      </c>
      <c r="B62" s="1">
        <f t="shared" si="0"/>
        <v>1000000</v>
      </c>
      <c r="C62" s="1">
        <f t="shared" si="1"/>
        <v>6283185.307179586</v>
      </c>
      <c r="D62" s="68" t="str">
        <f t="shared" si="12"/>
        <v>0.000018422033272857-0.231498097576778i</v>
      </c>
      <c r="E62" s="1">
        <f t="shared" si="3"/>
        <v>-12.709051444710326</v>
      </c>
      <c r="F62" s="1">
        <f t="shared" si="4"/>
        <v>-89.995440546745712</v>
      </c>
      <c r="G62" s="1" t="str">
        <f t="shared" si="13"/>
        <v>-0.000608062262928196+0.0063057681937402i</v>
      </c>
      <c r="H62" s="1">
        <f t="shared" si="6"/>
        <v>-43.965043025913324</v>
      </c>
      <c r="I62" s="1">
        <f t="shared" si="7"/>
        <v>95.507974963361562</v>
      </c>
      <c r="J62" s="1" t="str">
        <f t="shared" si="8"/>
        <v>0.00145976213886777+0.000140881422147584i</v>
      </c>
      <c r="K62" s="1">
        <f t="shared" si="9"/>
        <v>-56.674094470623658</v>
      </c>
      <c r="L62" s="1">
        <f t="shared" si="10"/>
        <v>5.5125344166158596</v>
      </c>
    </row>
    <row r="74" spans="2:98" ht="31.5">
      <c r="B74" s="32" t="s">
        <v>161</v>
      </c>
      <c r="C74" s="31"/>
      <c r="D74" s="31"/>
      <c r="E74" s="31"/>
    </row>
    <row r="75" spans="2:98" ht="31.5">
      <c r="B75" s="31"/>
      <c r="C75" s="31"/>
      <c r="D75" s="31"/>
      <c r="E75" s="31"/>
    </row>
    <row r="76" spans="2:98" ht="15.75" thickBot="1">
      <c r="B76" s="301" t="s">
        <v>33</v>
      </c>
      <c r="C76" s="301"/>
      <c r="D76" s="317" t="s">
        <v>31</v>
      </c>
      <c r="E76" s="306"/>
      <c r="F76" s="306"/>
      <c r="G76" s="306"/>
      <c r="H76" s="306"/>
      <c r="I76" s="306"/>
      <c r="J76" s="306"/>
      <c r="K76" s="306"/>
      <c r="L76" s="306"/>
      <c r="M76" s="306"/>
      <c r="N76" s="306"/>
      <c r="O76" s="306"/>
      <c r="P76" s="306"/>
      <c r="Q76" s="306"/>
      <c r="R76" s="306"/>
      <c r="S76" s="306"/>
      <c r="T76" s="306"/>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row>
    <row r="77" spans="2:98" ht="15.75" thickBot="1">
      <c r="B77" s="302"/>
      <c r="C77" s="302"/>
      <c r="D77" s="303" t="s">
        <v>0</v>
      </c>
      <c r="E77" s="304"/>
      <c r="F77" s="305"/>
      <c r="G77" s="303" t="s">
        <v>291</v>
      </c>
      <c r="H77" s="304"/>
      <c r="I77" s="305"/>
      <c r="J77" s="303" t="s">
        <v>292</v>
      </c>
      <c r="K77" s="304"/>
      <c r="L77" s="305"/>
      <c r="M77" s="303" t="s">
        <v>295</v>
      </c>
      <c r="N77" s="305"/>
      <c r="O77" s="318" t="s">
        <v>338</v>
      </c>
      <c r="P77" s="319"/>
      <c r="Q77" s="320"/>
      <c r="R77" s="321" t="s">
        <v>339</v>
      </c>
      <c r="S77" s="322"/>
      <c r="T77" s="322"/>
      <c r="U77" s="306" t="s">
        <v>298</v>
      </c>
      <c r="V77" s="306"/>
      <c r="W77" s="306"/>
      <c r="X77" s="170" t="s">
        <v>295</v>
      </c>
      <c r="Y77" s="78" t="s">
        <v>292</v>
      </c>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row>
    <row r="78" spans="2:98" ht="45">
      <c r="B78" s="66" t="s">
        <v>35</v>
      </c>
      <c r="C78" s="83" t="s">
        <v>34</v>
      </c>
      <c r="D78" s="85" t="s">
        <v>38</v>
      </c>
      <c r="E78" s="66" t="s">
        <v>36</v>
      </c>
      <c r="F78" s="86" t="s">
        <v>37</v>
      </c>
      <c r="G78" s="85" t="s">
        <v>38</v>
      </c>
      <c r="H78" s="66" t="s">
        <v>36</v>
      </c>
      <c r="I78" s="86" t="s">
        <v>37</v>
      </c>
      <c r="J78" s="85" t="s">
        <v>38</v>
      </c>
      <c r="K78" s="66" t="s">
        <v>36</v>
      </c>
      <c r="L78" s="86" t="s">
        <v>37</v>
      </c>
      <c r="M78" s="92" t="s">
        <v>293</v>
      </c>
      <c r="N78" s="93" t="s">
        <v>294</v>
      </c>
      <c r="O78" s="85" t="s">
        <v>38</v>
      </c>
      <c r="P78" s="66" t="s">
        <v>36</v>
      </c>
      <c r="Q78" s="86" t="s">
        <v>37</v>
      </c>
      <c r="R78" s="94" t="s">
        <v>38</v>
      </c>
      <c r="S78" s="95" t="s">
        <v>36</v>
      </c>
      <c r="T78" s="96" t="s">
        <v>37</v>
      </c>
      <c r="U78" s="94" t="s">
        <v>38</v>
      </c>
      <c r="V78" s="95" t="s">
        <v>36</v>
      </c>
      <c r="W78" s="96" t="s">
        <v>37</v>
      </c>
      <c r="X78" s="180" t="s">
        <v>370</v>
      </c>
      <c r="Y78" s="94" t="s">
        <v>38</v>
      </c>
      <c r="Z78" s="95" t="s">
        <v>36</v>
      </c>
      <c r="AA78" s="96" t="s">
        <v>37</v>
      </c>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row>
    <row r="79" spans="2:98">
      <c r="B79" s="1">
        <v>1</v>
      </c>
      <c r="C79" s="24">
        <f t="shared" ref="C79:C110" si="14">2*PI()*B79</f>
        <v>6.2831853071795862</v>
      </c>
      <c r="D79" s="28" t="str">
        <f>IMDIV(COMPLEX((V12_Nom/(I_Channel_Design*np)),((Zo_Buck_Cout*Zo_Buck_Resr*V12_Nom)/(I_Channel_Design*np))*C79),COMPLEX(1,((Zo_Buck_Cout*Zo_Buck_Resr)+((Zo_Buck_Cout*V12_Nom)/(I_Channel_Design*np)))*C79))</f>
        <v>0.999974481808567-0.00502641869463909i</v>
      </c>
      <c r="E79" s="1">
        <f t="shared" ref="E79:E137" si="15">20*LOG(IMABS(D79))</f>
        <v>-1.1192280774563195E-4</v>
      </c>
      <c r="F79" s="7">
        <f>IMARGUMENT(D79)*(180/PI())</f>
        <v>-0.28799750099038296</v>
      </c>
      <c r="G79" s="6" t="str">
        <f t="shared" ref="G79:G110" si="16">IMDIV(COMPLEX(V48_Max,0),IMSUM(COMPLEX(Rcs/np,(Lm*C79)/np),D79))</f>
        <v>65.9670794579534+0.326863753284899i</v>
      </c>
      <c r="H79" s="1">
        <f>20*LOG10(IMABS(G79))</f>
        <v>36.386651766902048</v>
      </c>
      <c r="I79" s="7">
        <f>IMARGUMENT(G79)*(180/PI())</f>
        <v>0.28389554954839619</v>
      </c>
      <c r="J79" s="28" t="str">
        <f t="shared" ref="J79:J110" si="17">IMDIV(IMPRODUCT(COMPLEX(V48_Max,0),D79),IMSUM(COMPLEX(Rcs/np,(Lm*C79)/np),D79))</f>
        <v>65.9670390514716-0.00472274910512924i</v>
      </c>
      <c r="K79" s="1">
        <f>20*LOG10(IMABS(J79))</f>
        <v>36.386539844094301</v>
      </c>
      <c r="L79" s="7">
        <f>IMARGUMENT(J79)*(180/PI())</f>
        <v>-4.1019514419867948E-3</v>
      </c>
      <c r="M79" s="28">
        <f t="shared" ref="M79:M110" si="18">1/(Kff*V48_Max)</f>
        <v>0.48484848484848486</v>
      </c>
      <c r="N79" s="7">
        <f>(Rcs*Acs)/np</f>
        <v>0.02</v>
      </c>
      <c r="O79" s="6" t="str">
        <f t="shared" ref="O79:O110" si="19">IMPRODUCT(COMPLEX(gm/(IL_Comp_Ccomp+IL_Comp_Chf),0),IMDIV(COMPLEX(1,C79*IL_Comp_Rcomp*IL_Comp_Ccomp),IMPRODUCT(COMPLEX(0,C79),COMPLEX(1,C79*IL_Comp_Rcomp*IL_Comp_Chf))))</f>
        <v>1.55294117630368-4681.02775409665i</v>
      </c>
      <c r="P79" s="1">
        <f t="shared" ref="P79:P137" si="20">20*LOG(IMABS(O79))</f>
        <v>73.406824799848835</v>
      </c>
      <c r="Q79" s="7">
        <f>IMARGUMENT(O79)*(180/PI())</f>
        <v>-89.980992000764758</v>
      </c>
      <c r="R79" s="6" t="str">
        <f>IMDIV(IMPRODUCT(J79,O79,COMPLEX(M79,0)),IMSUM(COMPLEX(1,0),IMPRODUCT(G79,O79,COMPLEX(N79,0),COMPLEX(M79,0))))</f>
        <v>49.9985463125553-0.268017576676215i</v>
      </c>
      <c r="S79" s="81">
        <f>20*LOG10(IMABS(R79))</f>
        <v>33.9792723445726</v>
      </c>
      <c r="T79" s="88">
        <f>IMARGUMENT(R79)*(180/PI())</f>
        <v>-0.30713150733782441</v>
      </c>
      <c r="U79" s="44" t="str">
        <f>IMPRODUCT(COMPLEX(-1,0),IMDIV(COMPLEX(1,C79*Calculations!$B$204*Calculations!$B$206),IMPRODUCT(COMPLEX(0,C79*Calculations!$B$193),COMPLEX((Calculations!$B$206+Calculations!$B$208),C79*Calculations!$B$204*Calculations!$B$206*Calculations!$B$208))))</f>
        <v>-0.183166112665877+70.0321125669498i</v>
      </c>
      <c r="V79" s="44">
        <f>20*LOG10(IMABS(U79))</f>
        <v>36.905974255116696</v>
      </c>
      <c r="W79" s="44">
        <f>IMARGUMENT(U79)*(180/PI())</f>
        <v>90.149854415224993</v>
      </c>
      <c r="X79" s="44">
        <f>Calculations!$B$216/(Calculations!$B$216+Calculations!$B$218)</f>
        <v>0.6875</v>
      </c>
      <c r="Y79" s="44" t="str">
        <f>IMPRODUCT(IMPRODUCT(U79,R79), COMPLEX(X79,0))</f>
        <v>6.60811094122728+2407.31762925663i</v>
      </c>
      <c r="Z79" s="44">
        <f>20*LOG10(IMABS(Y79))</f>
        <v>67.630700649735303</v>
      </c>
      <c r="AA79" s="44">
        <f>IMARGUMENT(Y79)*(180/PI())</f>
        <v>89.842722907887179</v>
      </c>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row>
    <row r="80" spans="2:98">
      <c r="B80" s="1">
        <v>1.2915496650148839</v>
      </c>
      <c r="C80" s="24">
        <f t="shared" si="14"/>
        <v>8.1150458787142341</v>
      </c>
      <c r="D80" s="28" t="str">
        <f t="shared" ref="D80:D110" si="21">IMDIV(COMPLEX((V12_Nom/(I_Channel_Design*np)),((Zo_Buck_Cout*Zo_Buck_Resr*V12_Nom)/(I_Channel_Design*np))*C80),COMPLEX(1,((Zo_Buck_Cout*Zo_Buck_Resr)+((Zo_Buck_Cout*V12_Nom)/(I_Channel_Design*np)))*C80))</f>
        <v>0.999957433824119-0.0064917575983835i</v>
      </c>
      <c r="E80" s="1">
        <f t="shared" si="15"/>
        <v>-1.8669688817035007E-4</v>
      </c>
      <c r="F80" s="7">
        <f t="shared" ref="F80:F133" si="22">IMARGUMENT(D80)*(180/PI())</f>
        <v>-0.37196091962689992</v>
      </c>
      <c r="G80" s="6" t="str">
        <f t="shared" si="16"/>
        <v>65.9671215257444+0.42216086335577i</v>
      </c>
      <c r="H80" s="1">
        <f t="shared" ref="H80:H137" si="23">20*LOG10(IMABS(G80))</f>
        <v>36.386728540408569</v>
      </c>
      <c r="I80" s="7">
        <f t="shared" ref="I80:I133" si="24">IMARGUMENT(G80)*(180/PI())</f>
        <v>0.3666630435309336</v>
      </c>
      <c r="J80" s="28" t="str">
        <f t="shared" si="17"/>
        <v>65.9670541236395-0.00609966882602826i</v>
      </c>
      <c r="K80" s="1">
        <f t="shared" ref="K80:K137" si="25">20*LOG10(IMABS(J80))</f>
        <v>36.386541843520391</v>
      </c>
      <c r="L80" s="7">
        <f t="shared" ref="L80:L133" si="26">IMARGUMENT(J80)*(180/PI())</f>
        <v>-5.2978760959659487E-3</v>
      </c>
      <c r="M80" s="28">
        <f t="shared" si="18"/>
        <v>0.48484848484848486</v>
      </c>
      <c r="N80" s="7">
        <f t="shared" ref="N80:N110" si="27">(Rcs*Acs)/np</f>
        <v>0.02</v>
      </c>
      <c r="O80" s="6" t="str">
        <f t="shared" si="19"/>
        <v>1.55294117619217-3624.34979594762i</v>
      </c>
      <c r="P80" s="1">
        <f t="shared" si="20"/>
        <v>71.184602916925655</v>
      </c>
      <c r="Q80" s="7">
        <f t="shared" ref="Q80:Q133" si="28">IMARGUMENT(O80)*(180/PI())</f>
        <v>-89.975450225615006</v>
      </c>
      <c r="R80" s="6" t="str">
        <f t="shared" ref="R80:R133" si="29">IMDIV(IMPRODUCT(J80,O80,COMPLEX(M80,0)),IMSUM(COMPLEX(1,0),IMPRODUCT(G80,O80,COMPLEX(N80,0),COMPLEX(M80,0))))</f>
        <v>49.9975751509352-0.346151202304778i</v>
      </c>
      <c r="S80" s="81">
        <f t="shared" ref="S80:S137" si="30">20*LOG10(IMABS(R80))</f>
        <v>33.979187002077005</v>
      </c>
      <c r="T80" s="88">
        <f t="shared" ref="T80:T133" si="31">IMARGUMENT(R80)*(180/PI())</f>
        <v>-0.39667295924176305</v>
      </c>
      <c r="U80" s="44" t="str">
        <f>IMPRODUCT(COMPLEX(-1,0),IMDIV(COMPLEX(1,C80*Calculations!$B$204*Calculations!$B$206),IMPRODUCT(COMPLEX(0,C80*Calculations!$B$193),COMPLEX((Calculations!$B$206+Calculations!$B$208),C80*Calculations!$B$204*Calculations!$B$206*Calculations!$B$208))))</f>
        <v>-0.183166111754263+54.2233295598499i</v>
      </c>
      <c r="V80" s="44">
        <f t="shared" ref="V80:V137" si="32">20*LOG10(IMABS(U80))</f>
        <v>34.683773190918586</v>
      </c>
      <c r="W80" s="44">
        <f t="shared" ref="W80:W134" si="33">IMARGUMENT(U80)*(180/PI())</f>
        <v>90.193544094787342</v>
      </c>
      <c r="X80" s="44">
        <f>Calculations!$B$216/(Calculations!$B$216+Calculations!$B$218)</f>
        <v>0.6875</v>
      </c>
      <c r="Y80" s="44" t="str">
        <f t="shared" ref="Y80:Y137" si="34">IMPRODUCT(IMPRODUCT(U80,R80), COMPLEX(X80,0))</f>
        <v>6.60798138176817+1863.88014846848i</v>
      </c>
      <c r="Z80" s="44">
        <f t="shared" ref="Z80:Z137" si="35">20*LOG10(IMABS(Y80))</f>
        <v>65.408414243041619</v>
      </c>
      <c r="AA80" s="44">
        <f t="shared" ref="AA80:AA134" si="36">IMARGUMENT(Y80)*(180/PI())</f>
        <v>89.796871135545572</v>
      </c>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row>
    <row r="81" spans="2:70">
      <c r="B81" s="1">
        <v>1.6681005372000588</v>
      </c>
      <c r="C81" s="24">
        <f t="shared" si="14"/>
        <v>10.480984786233785</v>
      </c>
      <c r="D81" s="28" t="str">
        <f t="shared" si="21"/>
        <v>0.999928997378545-0.00838418653365166i</v>
      </c>
      <c r="E81" s="1">
        <f t="shared" si="15"/>
        <v>-3.1142470649833453E-4</v>
      </c>
      <c r="F81" s="7">
        <f t="shared" si="22"/>
        <v>-0.48040135565821535</v>
      </c>
      <c r="G81" s="6" t="str">
        <f t="shared" si="16"/>
        <v>65.9671916991191+0.54524192049353i</v>
      </c>
      <c r="H81" s="1">
        <f t="shared" si="23"/>
        <v>36.386856603471635</v>
      </c>
      <c r="I81" s="7">
        <f t="shared" si="24"/>
        <v>0.47355888106883637</v>
      </c>
      <c r="J81" s="28" t="str">
        <f t="shared" si="17"/>
        <v>65.9670792655458-0.00787803341872249i</v>
      </c>
      <c r="K81" s="1">
        <f t="shared" si="25"/>
        <v>36.386545178765132</v>
      </c>
      <c r="L81" s="7">
        <f t="shared" si="26"/>
        <v>-6.8424745893777231E-3</v>
      </c>
      <c r="M81" s="28">
        <f t="shared" si="18"/>
        <v>0.48484848484848486</v>
      </c>
      <c r="N81" s="7">
        <f t="shared" si="27"/>
        <v>0.02</v>
      </c>
      <c r="O81" s="6" t="str">
        <f t="shared" si="19"/>
        <v>1.55294117600615-2806.20243109123i</v>
      </c>
      <c r="P81" s="1">
        <f t="shared" si="20"/>
        <v>68.96238126068819</v>
      </c>
      <c r="Q81" s="7">
        <f t="shared" si="28"/>
        <v>-89.968292748538587</v>
      </c>
      <c r="R81" s="6" t="str">
        <f t="shared" si="29"/>
        <v>49.9959552408107-0.447056800456333i</v>
      </c>
      <c r="S81" s="81">
        <f t="shared" si="30"/>
        <v>33.979044645960663</v>
      </c>
      <c r="T81" s="88">
        <f t="shared" si="31"/>
        <v>-0.51231714833935282</v>
      </c>
      <c r="U81" s="44" t="str">
        <f>IMPRODUCT(COMPLEX(-1,0),IMDIV(COMPLEX(1,C81*Calculations!$B$204*Calculations!$B$206),IMPRODUCT(COMPLEX(0,C81*Calculations!$B$193),COMPLEX((Calculations!$B$206+Calculations!$B$208),C81*Calculations!$B$204*Calculations!$B$206*Calculations!$B$208))))</f>
        <v>-0.1831661102336+41.9831653943079i</v>
      </c>
      <c r="V81" s="44">
        <f t="shared" si="32"/>
        <v>32.46158626217796</v>
      </c>
      <c r="W81" s="44">
        <f t="shared" si="33"/>
        <v>90.249971110607731</v>
      </c>
      <c r="X81" s="44">
        <f>Calculations!$B$216/(Calculations!$B$216+Calculations!$B$218)</f>
        <v>0.6875</v>
      </c>
      <c r="Y81" s="44" t="str">
        <f t="shared" si="34"/>
        <v>6.60776527491841+1443.11086120888i</v>
      </c>
      <c r="Z81" s="44">
        <f t="shared" si="35"/>
        <v>63.18608495818458</v>
      </c>
      <c r="AA81" s="44">
        <f t="shared" si="36"/>
        <v>89.737653962268382</v>
      </c>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row>
    <row r="82" spans="2:70">
      <c r="B82" s="1">
        <v>2.1544346900318838</v>
      </c>
      <c r="C82" s="24">
        <f t="shared" si="14"/>
        <v>13.536712389686338</v>
      </c>
      <c r="D82" s="28" t="str">
        <f t="shared" si="21"/>
        <v>0.999881566163322-0.0108280745222834i</v>
      </c>
      <c r="E82" s="1">
        <f t="shared" si="15"/>
        <v>-5.1947527458561871E-4</v>
      </c>
      <c r="F82" s="7">
        <f t="shared" si="22"/>
        <v>-0.62045220204020701</v>
      </c>
      <c r="G82" s="6" t="str">
        <f t="shared" si="16"/>
        <v>65.9673087555563+0.704207448162267i</v>
      </c>
      <c r="H82" s="1">
        <f t="shared" si="23"/>
        <v>36.387070217565828</v>
      </c>
      <c r="I82" s="7">
        <f t="shared" si="24"/>
        <v>0.61161479659794604</v>
      </c>
      <c r="J82" s="28" t="str">
        <f t="shared" si="17"/>
        <v>65.967121204813-0.0101748890672771i</v>
      </c>
      <c r="K82" s="1">
        <f t="shared" si="25"/>
        <v>36.386550742291256</v>
      </c>
      <c r="L82" s="7">
        <f t="shared" si="26"/>
        <v>-8.8374054422602905E-3</v>
      </c>
      <c r="M82" s="28">
        <f t="shared" si="18"/>
        <v>0.48484848484848486</v>
      </c>
      <c r="N82" s="7">
        <f t="shared" si="27"/>
        <v>0.02</v>
      </c>
      <c r="O82" s="6" t="str">
        <f t="shared" si="19"/>
        <v>1.55294117569587-2172.74064253767i</v>
      </c>
      <c r="P82" s="1">
        <f t="shared" si="20"/>
        <v>66.740159982585411</v>
      </c>
      <c r="Q82" s="7">
        <f t="shared" si="28"/>
        <v>-89.959048513059429</v>
      </c>
      <c r="R82" s="6" t="str">
        <f t="shared" si="29"/>
        <v>49.9932533046221-0.577364460400482i</v>
      </c>
      <c r="S82" s="81">
        <f t="shared" si="30"/>
        <v>33.978807192070718</v>
      </c>
      <c r="T82" s="88">
        <f t="shared" si="31"/>
        <v>-0.66167080630349118</v>
      </c>
      <c r="U82" s="44" t="str">
        <f>IMPRODUCT(COMPLEX(-1,0),IMDIV(COMPLEX(1,C82*Calculations!$B$204*Calculations!$B$206),IMPRODUCT(COMPLEX(0,C82*Calculations!$B$193),COMPLEX((Calculations!$B$206+Calculations!$B$208),C82*Calculations!$B$204*Calculations!$B$206*Calculations!$B$208))))</f>
        <v>-0.183166107696981+32.5060538902404i</v>
      </c>
      <c r="V82" s="44">
        <f t="shared" si="32"/>
        <v>30.239422912391799</v>
      </c>
      <c r="W82" s="44">
        <f t="shared" si="33"/>
        <v>90.322848595695362</v>
      </c>
      <c r="X82" s="44">
        <f>Calculations!$B$216/(Calculations!$B$216+Calculations!$B$218)</f>
        <v>0.6875</v>
      </c>
      <c r="Y82" s="44" t="str">
        <f t="shared" si="34"/>
        <v>6.60740481855491+1117.31753352273i</v>
      </c>
      <c r="Z82" s="44">
        <f t="shared" si="35"/>
        <v>60.963684154508549</v>
      </c>
      <c r="AA82" s="44">
        <f t="shared" si="36"/>
        <v>89.661177789391886</v>
      </c>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row>
    <row r="83" spans="2:70">
      <c r="B83" s="1">
        <v>2.7825594022071245</v>
      </c>
      <c r="C83" s="24">
        <f t="shared" si="14"/>
        <v>17.483336352302217</v>
      </c>
      <c r="D83" s="28" t="str">
        <f t="shared" si="21"/>
        <v>0.999802456240513-0.0139838784728567i</v>
      </c>
      <c r="E83" s="1">
        <f t="shared" si="15"/>
        <v>-8.6650235685332088E-4</v>
      </c>
      <c r="F83" s="7">
        <f t="shared" si="22"/>
        <v>-0.80132327391863467</v>
      </c>
      <c r="G83" s="6" t="str">
        <f t="shared" si="16"/>
        <v>65.9675040180027+0.909519816729246i</v>
      </c>
      <c r="H83" s="1">
        <f t="shared" si="23"/>
        <v>36.387426525176579</v>
      </c>
      <c r="I83" s="7">
        <f t="shared" si="24"/>
        <v>0.78990930502839762</v>
      </c>
      <c r="J83" s="28" t="str">
        <f t="shared" si="17"/>
        <v>65.9671911638409-0.0131414125801141i</v>
      </c>
      <c r="K83" s="1">
        <f t="shared" si="25"/>
        <v>36.386560022819737</v>
      </c>
      <c r="L83" s="7">
        <f t="shared" si="26"/>
        <v>-1.1413968890236803E-2</v>
      </c>
      <c r="M83" s="28">
        <f t="shared" si="18"/>
        <v>0.48484848484848486</v>
      </c>
      <c r="N83" s="7">
        <f t="shared" si="27"/>
        <v>0.02</v>
      </c>
      <c r="O83" s="6" t="str">
        <f t="shared" si="19"/>
        <v>1.55294117517827-1682.27418934466i</v>
      </c>
      <c r="P83" s="1">
        <f t="shared" si="20"/>
        <v>64.517939335248712</v>
      </c>
      <c r="Q83" s="7">
        <f t="shared" si="28"/>
        <v>-89.947109127358999</v>
      </c>
      <c r="R83" s="6" t="str">
        <f t="shared" si="29"/>
        <v>49.9887468620951-0.745626804219671i</v>
      </c>
      <c r="S83" s="81">
        <f t="shared" si="30"/>
        <v>33.978411124111631</v>
      </c>
      <c r="T83" s="88">
        <f t="shared" si="31"/>
        <v>-0.8545543510013216</v>
      </c>
      <c r="U83" s="44" t="str">
        <f>IMPRODUCT(COMPLEX(-1,0),IMDIV(COMPLEX(1,C83*Calculations!$B$204*Calculations!$B$206),IMPRODUCT(COMPLEX(0,C83*Calculations!$B$193),COMPLEX((Calculations!$B$206+Calculations!$B$208),C83*Calculations!$B$204*Calculations!$B$206*Calculations!$B$208))))</f>
        <v>-0.183166103465645+25.1682746130757i</v>
      </c>
      <c r="V83" s="44">
        <f t="shared" si="32"/>
        <v>28.017298893532168</v>
      </c>
      <c r="W83" s="44">
        <f t="shared" si="33"/>
        <v>90.416971745783968</v>
      </c>
      <c r="X83" s="44">
        <f>Calculations!$B$216/(Calculations!$B$216+Calculations!$B$218)</f>
        <v>0.6875</v>
      </c>
      <c r="Y83" s="44" t="str">
        <f t="shared" si="34"/>
        <v>6.60680362898205+865.058618974756i</v>
      </c>
      <c r="Z83" s="44">
        <f t="shared" si="35"/>
        <v>58.741164067689773</v>
      </c>
      <c r="AA83" s="44">
        <f t="shared" si="36"/>
        <v>89.56241739478267</v>
      </c>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row>
    <row r="84" spans="2:70">
      <c r="B84" s="1">
        <v>3.5938136638046281</v>
      </c>
      <c r="C84" s="24">
        <f t="shared" si="14"/>
        <v>22.580597209158476</v>
      </c>
      <c r="D84" s="28" t="str">
        <f t="shared" si="21"/>
        <v>0.999670521067852-0.0180584663838337i</v>
      </c>
      <c r="E84" s="1">
        <f t="shared" si="15"/>
        <v>-1.4453167068976948E-3</v>
      </c>
      <c r="F84" s="7">
        <f t="shared" si="22"/>
        <v>-1.0349023627929885</v>
      </c>
      <c r="G84" s="6" t="str">
        <f t="shared" si="16"/>
        <v>65.9678297368973+1.17469200307091i</v>
      </c>
      <c r="H84" s="1">
        <f t="shared" si="23"/>
        <v>36.38802082040209</v>
      </c>
      <c r="I84" s="7">
        <f t="shared" si="24"/>
        <v>1.0201606101726</v>
      </c>
      <c r="J84" s="28" t="str">
        <f t="shared" si="17"/>
        <v>65.9673078628483-0.0169728689140901i</v>
      </c>
      <c r="K84" s="1">
        <f t="shared" si="25"/>
        <v>36.386575503695191</v>
      </c>
      <c r="L84" s="7">
        <f t="shared" si="26"/>
        <v>-1.4741752620388959E-2</v>
      </c>
      <c r="M84" s="28">
        <f t="shared" si="18"/>
        <v>0.48484848484848486</v>
      </c>
      <c r="N84" s="7">
        <f t="shared" si="27"/>
        <v>0.02</v>
      </c>
      <c r="O84" s="6" t="str">
        <f t="shared" si="19"/>
        <v>1.55294117431486-1302.52383229503i</v>
      </c>
      <c r="P84" s="1">
        <f t="shared" si="20"/>
        <v>62.295719740092686</v>
      </c>
      <c r="Q84" s="7">
        <f t="shared" si="28"/>
        <v>-89.931688825375176</v>
      </c>
      <c r="R84" s="6" t="str">
        <f t="shared" si="29"/>
        <v>49.9812314951669-0.962867430004741i</v>
      </c>
      <c r="S84" s="81">
        <f t="shared" si="30"/>
        <v>33.97775052362104</v>
      </c>
      <c r="T84" s="88">
        <f t="shared" si="31"/>
        <v>-1.1036426091488629</v>
      </c>
      <c r="U84" s="44" t="str">
        <f>IMPRODUCT(COMPLEX(-1,0),IMDIV(COMPLEX(1,C84*Calculations!$B$204*Calculations!$B$206),IMPRODUCT(COMPLEX(0,C84*Calculations!$B$193),COMPLEX((Calculations!$B$206+Calculations!$B$208),C84*Calculations!$B$204*Calculations!$B$206*Calculations!$B$208))))</f>
        <v>-0.183166096407353+19.4869037439288i</v>
      </c>
      <c r="V84" s="44">
        <f t="shared" si="32"/>
        <v>25.795240479440441</v>
      </c>
      <c r="W84" s="44">
        <f t="shared" si="33"/>
        <v>90.538532717280304</v>
      </c>
      <c r="X84" s="44">
        <f>Calculations!$B$216/(Calculations!$B$216+Calculations!$B$218)</f>
        <v>0.6875</v>
      </c>
      <c r="Y84" s="44" t="str">
        <f t="shared" si="34"/>
        <v>6.60580102879436+669.732120624773i</v>
      </c>
      <c r="Z84" s="44">
        <f t="shared" si="35"/>
        <v>56.518445053107484</v>
      </c>
      <c r="AA84" s="44">
        <f t="shared" si="36"/>
        <v>89.434890108131455</v>
      </c>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row>
    <row r="85" spans="2:70">
      <c r="B85" s="1">
        <v>4.6415888336127793</v>
      </c>
      <c r="C85" s="24">
        <f t="shared" si="14"/>
        <v>29.163962761324647</v>
      </c>
      <c r="D85" s="28" t="str">
        <f t="shared" si="21"/>
        <v>0.999450518180549-0.0233182219546647i</v>
      </c>
      <c r="E85" s="1">
        <f t="shared" si="15"/>
        <v>-2.4106655668052349E-3</v>
      </c>
      <c r="F85" s="7">
        <f t="shared" si="22"/>
        <v>-1.3365277624822469</v>
      </c>
      <c r="G85" s="6" t="str">
        <f t="shared" si="16"/>
        <v>65.9683730729426+1.51717734706559i</v>
      </c>
      <c r="H85" s="1">
        <f t="shared" si="23"/>
        <v>36.389011992976968</v>
      </c>
      <c r="I85" s="7">
        <f t="shared" si="24"/>
        <v>1.3174879600379714</v>
      </c>
      <c r="J85" s="28" t="str">
        <f t="shared" si="17"/>
        <v>65.9675025294037-0.0219214796065044i</v>
      </c>
      <c r="K85" s="1">
        <f t="shared" si="25"/>
        <v>36.386601327410155</v>
      </c>
      <c r="L85" s="7">
        <f t="shared" si="26"/>
        <v>-1.9039802444273161E-2</v>
      </c>
      <c r="M85" s="28">
        <f t="shared" si="18"/>
        <v>0.48484848484848486</v>
      </c>
      <c r="N85" s="7">
        <f t="shared" si="27"/>
        <v>0.02</v>
      </c>
      <c r="O85" s="6" t="str">
        <f t="shared" si="19"/>
        <v>1.55294117287463-1008.49692910257i</v>
      </c>
      <c r="P85" s="1">
        <f t="shared" si="20"/>
        <v>60.073501900077446</v>
      </c>
      <c r="Q85" s="7">
        <f t="shared" si="28"/>
        <v>-89.911772755926108</v>
      </c>
      <c r="R85" s="6" t="str">
        <f t="shared" si="29"/>
        <v>49.9687002034233-1.24327535356835i</v>
      </c>
      <c r="S85" s="81">
        <f t="shared" si="30"/>
        <v>33.976648800023199</v>
      </c>
      <c r="T85" s="88">
        <f t="shared" si="31"/>
        <v>-1.4252869504570349</v>
      </c>
      <c r="U85" s="44" t="str">
        <f>IMPRODUCT(COMPLEX(-1,0),IMDIV(COMPLEX(1,C85*Calculations!$B$204*Calculations!$B$206),IMPRODUCT(COMPLEX(0,C85*Calculations!$B$193),COMPLEX((Calculations!$B$206+Calculations!$B$208),C85*Calculations!$B$204*Calculations!$B$206*Calculations!$B$208))))</f>
        <v>-0.183166084633412+15.0880312463966i</v>
      </c>
      <c r="V85" s="44">
        <f t="shared" si="32"/>
        <v>23.573291491871942</v>
      </c>
      <c r="W85" s="44">
        <f t="shared" si="33"/>
        <v>90.695526667654548</v>
      </c>
      <c r="X85" s="44">
        <f>Calculations!$B$216/(Calculations!$B$216+Calculations!$B$218)</f>
        <v>0.6875</v>
      </c>
      <c r="Y85" s="44" t="str">
        <f t="shared" si="34"/>
        <v>6.60412927077215+518.482962174175i</v>
      </c>
      <c r="Z85" s="44">
        <f t="shared" si="35"/>
        <v>54.295394341941147</v>
      </c>
      <c r="AA85" s="44">
        <f t="shared" si="36"/>
        <v>89.270239717197526</v>
      </c>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row>
    <row r="86" spans="2:70">
      <c r="B86" s="1">
        <v>5.9948425031894104</v>
      </c>
      <c r="C86" s="24">
        <f t="shared" si="14"/>
        <v>37.666706334895395</v>
      </c>
      <c r="D86" s="28" t="str">
        <f t="shared" si="21"/>
        <v>0.999083748809582-0.0301054792389854i</v>
      </c>
      <c r="E86" s="1">
        <f t="shared" si="15"/>
        <v>-4.0204870725089395E-3</v>
      </c>
      <c r="F86" s="7">
        <f t="shared" si="22"/>
        <v>-1.7259765363185569</v>
      </c>
      <c r="G86" s="6" t="str">
        <f t="shared" si="16"/>
        <v>65.9692794237293+1.95951912404298i</v>
      </c>
      <c r="H86" s="1">
        <f t="shared" si="23"/>
        <v>36.390664891197687</v>
      </c>
      <c r="I86" s="7">
        <f t="shared" si="24"/>
        <v>1.7013854773296808</v>
      </c>
      <c r="J86" s="28" t="str">
        <f t="shared" si="17"/>
        <v>65.9678272552336-0.028313059788983i</v>
      </c>
      <c r="K86" s="1">
        <f t="shared" si="25"/>
        <v>36.386644404125178</v>
      </c>
      <c r="L86" s="7">
        <f t="shared" si="26"/>
        <v>-2.4591058988877958E-2</v>
      </c>
      <c r="M86" s="28">
        <f t="shared" si="18"/>
        <v>0.48484848484848486</v>
      </c>
      <c r="N86" s="7">
        <f t="shared" si="27"/>
        <v>0.02</v>
      </c>
      <c r="O86" s="6" t="str">
        <f t="shared" si="19"/>
        <v>1.55294117047215-780.842584955501i</v>
      </c>
      <c r="P86" s="1">
        <f t="shared" si="20"/>
        <v>57.851286987807214</v>
      </c>
      <c r="Q86" s="7">
        <f t="shared" si="28"/>
        <v>-89.886050198460524</v>
      </c>
      <c r="R86" s="6" t="str">
        <f t="shared" si="29"/>
        <v>49.947810916716-1.60507205806102i</v>
      </c>
      <c r="S86" s="81">
        <f t="shared" si="30"/>
        <v>33.974811638457119</v>
      </c>
      <c r="T86" s="88">
        <f t="shared" si="31"/>
        <v>-1.8405655211496181</v>
      </c>
      <c r="U86" s="44" t="str">
        <f>IMPRODUCT(COMPLEX(-1,0),IMDIV(COMPLEX(1,C86*Calculations!$B$204*Calculations!$B$206),IMPRODUCT(COMPLEX(0,C86*Calculations!$B$193),COMPLEX((Calculations!$B$206+Calculations!$B$208),C86*Calculations!$B$204*Calculations!$B$206*Calculations!$B$208))))</f>
        <v>-0.183166064993299+11.6821525953254i</v>
      </c>
      <c r="V86" s="44">
        <f t="shared" si="32"/>
        <v>21.351525014193371</v>
      </c>
      <c r="W86" s="44">
        <f t="shared" si="33"/>
        <v>90.898274742666871</v>
      </c>
      <c r="X86" s="44">
        <f>Calculations!$B$216/(Calculations!$B$216+Calculations!$B$218)</f>
        <v>0.6875</v>
      </c>
      <c r="Y86" s="44" t="str">
        <f t="shared" si="34"/>
        <v>6.60134250058086+401.356961269304i</v>
      </c>
      <c r="Z86" s="44">
        <f t="shared" si="35"/>
        <v>52.071790702696497</v>
      </c>
      <c r="AA86" s="44">
        <f t="shared" si="36"/>
        <v>89.057709221517271</v>
      </c>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row>
    <row r="87" spans="2:70">
      <c r="B87" s="1">
        <v>7.7426368268112711</v>
      </c>
      <c r="C87" s="24">
        <f t="shared" si="14"/>
        <v>48.648421949048156</v>
      </c>
      <c r="D87" s="28" t="str">
        <f t="shared" si="21"/>
        <v>0.998472545275558-0.0388586964835888i</v>
      </c>
      <c r="E87" s="1">
        <f t="shared" si="15"/>
        <v>-6.7045037410686471E-3</v>
      </c>
      <c r="F87" s="7">
        <f t="shared" si="22"/>
        <v>-2.2287205248433328</v>
      </c>
      <c r="G87" s="6" t="str">
        <f t="shared" si="16"/>
        <v>65.9707913403462+2.53083615321127i</v>
      </c>
      <c r="H87" s="1">
        <f t="shared" si="23"/>
        <v>36.393420764608983</v>
      </c>
      <c r="I87" s="7">
        <f t="shared" si="24"/>
        <v>2.1969595015952268</v>
      </c>
      <c r="J87" s="28" t="str">
        <f t="shared" si="17"/>
        <v>65.9683689373655-0.0365685419044198i</v>
      </c>
      <c r="K87" s="1">
        <f t="shared" si="25"/>
        <v>36.386716260867914</v>
      </c>
      <c r="L87" s="7">
        <f t="shared" si="26"/>
        <v>-3.1761023248104085E-2</v>
      </c>
      <c r="M87" s="28">
        <f t="shared" si="18"/>
        <v>0.48484848484848486</v>
      </c>
      <c r="N87" s="7">
        <f t="shared" si="27"/>
        <v>0.02</v>
      </c>
      <c r="O87" s="6" t="str">
        <f t="shared" si="19"/>
        <v>1.55294116646459-604.578105347957i</v>
      </c>
      <c r="P87" s="1">
        <f t="shared" si="20"/>
        <v>55.62907695929237</v>
      </c>
      <c r="Q87" s="7">
        <f t="shared" si="28"/>
        <v>-89.852828314162494</v>
      </c>
      <c r="R87" s="6" t="str">
        <f t="shared" si="29"/>
        <v>49.9130048544822-2.07156733096811i</v>
      </c>
      <c r="S87" s="81">
        <f t="shared" si="30"/>
        <v>33.971748803419402</v>
      </c>
      <c r="T87" s="88">
        <f t="shared" si="31"/>
        <v>-2.3766147703080458</v>
      </c>
      <c r="U87" s="44" t="str">
        <f>IMPRODUCT(COMPLEX(-1,0),IMDIV(COMPLEX(1,C87*Calculations!$B$204*Calculations!$B$206),IMPRODUCT(COMPLEX(0,C87*Calculations!$B$193),COMPLEX((Calculations!$B$206+Calculations!$B$208),C87*Calculations!$B$204*Calculations!$B$206*Calculations!$B$208))))</f>
        <v>-0.183166032231625+9.04511551483415i</v>
      </c>
      <c r="V87" s="44">
        <f t="shared" si="32"/>
        <v>19.130062913060602</v>
      </c>
      <c r="W87" s="44">
        <f t="shared" si="33"/>
        <v>91.160096452966201</v>
      </c>
      <c r="X87" s="44">
        <f>Calculations!$B$216/(Calculations!$B$216+Calculations!$B$218)</f>
        <v>0.6875</v>
      </c>
      <c r="Y87" s="44" t="str">
        <f t="shared" si="34"/>
        <v>6.59669914021929+310.645730566726i</v>
      </c>
      <c r="Z87" s="44">
        <f t="shared" si="35"/>
        <v>49.847265766526014</v>
      </c>
      <c r="AA87" s="44">
        <f t="shared" si="36"/>
        <v>88.783481682658163</v>
      </c>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row>
    <row r="88" spans="2:70">
      <c r="B88" s="1">
        <v>10</v>
      </c>
      <c r="C88" s="24">
        <f t="shared" si="14"/>
        <v>62.831853071795862</v>
      </c>
      <c r="D88" s="28" t="str">
        <f t="shared" si="21"/>
        <v>0.997454675415217-0.0501362610694892i</v>
      </c>
      <c r="E88" s="1">
        <f t="shared" si="15"/>
        <v>-1.1178024648155389E-2</v>
      </c>
      <c r="F88" s="7">
        <f t="shared" si="22"/>
        <v>-2.8775048092738831</v>
      </c>
      <c r="G88" s="6" t="str">
        <f t="shared" si="16"/>
        <v>65.9733134593775+3.26874342759507i</v>
      </c>
      <c r="H88" s="1">
        <f t="shared" si="23"/>
        <v>36.398014151042986</v>
      </c>
      <c r="I88" s="7">
        <f t="shared" si="24"/>
        <v>2.8364829024392542</v>
      </c>
      <c r="J88" s="28" t="str">
        <f t="shared" si="17"/>
        <v>65.9692725365448-0.0472318526311353i</v>
      </c>
      <c r="K88" s="1">
        <f t="shared" si="25"/>
        <v>36.386836126394826</v>
      </c>
      <c r="L88" s="7">
        <f t="shared" si="26"/>
        <v>-4.1021906834632665E-2</v>
      </c>
      <c r="M88" s="28">
        <f t="shared" si="18"/>
        <v>0.48484848484848486</v>
      </c>
      <c r="N88" s="7">
        <f t="shared" si="27"/>
        <v>0.02</v>
      </c>
      <c r="O88" s="6" t="str">
        <f t="shared" si="19"/>
        <v>1.55294115977958-468.102934797074i</v>
      </c>
      <c r="P88" s="1">
        <f t="shared" si="20"/>
        <v>53.406875077323654</v>
      </c>
      <c r="Q88" s="7">
        <f t="shared" si="28"/>
        <v>-89.809920764750018</v>
      </c>
      <c r="R88" s="6" t="str">
        <f t="shared" si="29"/>
        <v>49.8550541350262-2.6723861997934i</v>
      </c>
      <c r="S88" s="81">
        <f t="shared" si="30"/>
        <v>33.966644507402862</v>
      </c>
      <c r="T88" s="88">
        <f t="shared" si="31"/>
        <v>-3.0682958009136225</v>
      </c>
      <c r="U88" s="44" t="str">
        <f>IMPRODUCT(COMPLEX(-1,0),IMDIV(COMPLEX(1,C88*Calculations!$B$204*Calculations!$B$206),IMPRODUCT(COMPLEX(0,C88*Calculations!$B$193),COMPLEX((Calculations!$B$206+Calculations!$B$208),C88*Calculations!$B$204*Calculations!$B$206*Calculations!$B$208))))</f>
        <v>-0.183165977581886+7.00336776664107i</v>
      </c>
      <c r="V88" s="44">
        <f t="shared" si="32"/>
        <v>16.90910835264884</v>
      </c>
      <c r="W88" s="44">
        <f t="shared" si="33"/>
        <v>91.498171438577273</v>
      </c>
      <c r="X88" s="44">
        <f>Calculations!$B$216/(Calculations!$B$216+Calculations!$B$218)</f>
        <v>0.6875</v>
      </c>
      <c r="Y88" s="44" t="str">
        <f t="shared" si="34"/>
        <v>6.5889681299816+240.379403937853i</v>
      </c>
      <c r="Z88" s="44">
        <f t="shared" si="35"/>
        <v>47.621206910097712</v>
      </c>
      <c r="AA88" s="44">
        <f t="shared" si="36"/>
        <v>88.429875637663656</v>
      </c>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row>
    <row r="89" spans="2:70">
      <c r="B89" s="1">
        <v>12.915496650148844</v>
      </c>
      <c r="C89" s="24">
        <f t="shared" si="14"/>
        <v>81.150458787142384</v>
      </c>
      <c r="D89" s="28" t="str">
        <f t="shared" si="21"/>
        <v>0.995761422610718-0.0646424453299199i</v>
      </c>
      <c r="E89" s="1">
        <f t="shared" si="15"/>
        <v>-1.8630066136822231E-2</v>
      </c>
      <c r="F89" s="7">
        <f t="shared" si="22"/>
        <v>-3.7142928452500539</v>
      </c>
      <c r="G89" s="6" t="str">
        <f t="shared" si="16"/>
        <v>65.9775208582408+4.22183678165548i</v>
      </c>
      <c r="H89" s="1">
        <f t="shared" si="23"/>
        <v>36.405666143775733</v>
      </c>
      <c r="I89" s="7">
        <f t="shared" si="24"/>
        <v>3.6613089298706045</v>
      </c>
      <c r="J89" s="28" t="str">
        <f t="shared" si="17"/>
        <v>65.9707798834802-0.0610060853509549i</v>
      </c>
      <c r="K89" s="1">
        <f t="shared" si="25"/>
        <v>36.387036077638918</v>
      </c>
      <c r="L89" s="7">
        <f t="shared" si="26"/>
        <v>-5.2983915379441096E-2</v>
      </c>
      <c r="M89" s="28">
        <f t="shared" si="18"/>
        <v>0.48484848484848486</v>
      </c>
      <c r="N89" s="7">
        <f t="shared" si="27"/>
        <v>0.02</v>
      </c>
      <c r="O89" s="6" t="str">
        <f t="shared" si="19"/>
        <v>1.55294114862831-362.435185451512i</v>
      </c>
      <c r="P89" s="1">
        <f t="shared" si="20"/>
        <v>51.184686784476838</v>
      </c>
      <c r="Q89" s="7">
        <f t="shared" si="28"/>
        <v>-89.754503887270232</v>
      </c>
      <c r="R89" s="6" t="str">
        <f t="shared" si="29"/>
        <v>49.7586894520591-3.4447631221184i</v>
      </c>
      <c r="S89" s="81">
        <f t="shared" si="30"/>
        <v>33.958143408163572</v>
      </c>
      <c r="T89" s="88">
        <f t="shared" si="31"/>
        <v>-3.9602325004676215</v>
      </c>
      <c r="U89" s="44" t="str">
        <f>IMPRODUCT(COMPLEX(-1,0),IMDIV(COMPLEX(1,C89*Calculations!$B$204*Calculations!$B$206),IMPRODUCT(COMPLEX(0,C89*Calculations!$B$193),COMPLEX((Calculations!$B$206+Calculations!$B$208),C89*Calculations!$B$204*Calculations!$B$206*Calculations!$B$208))))</f>
        <v>-0.183165886420698+5.42253509625182i</v>
      </c>
      <c r="V89" s="44">
        <f t="shared" si="32"/>
        <v>14.688999893027026</v>
      </c>
      <c r="W89" s="44">
        <f t="shared" si="33"/>
        <v>91.934638197702043</v>
      </c>
      <c r="X89" s="44">
        <f>Calculations!$B$216/(Calculations!$B$216+Calculations!$B$218)</f>
        <v>0.6875</v>
      </c>
      <c r="Y89" s="44" t="str">
        <f t="shared" si="34"/>
        <v>6.57611244629788+185.93382705429i</v>
      </c>
      <c r="Z89" s="44">
        <f t="shared" si="35"/>
        <v>45.39259735123661</v>
      </c>
      <c r="AA89" s="44">
        <f t="shared" si="36"/>
        <v>87.974405697234431</v>
      </c>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row>
    <row r="90" spans="2:70">
      <c r="B90" s="1">
        <v>16.681005372000598</v>
      </c>
      <c r="C90" s="24">
        <f t="shared" si="14"/>
        <v>104.8098478623379</v>
      </c>
      <c r="D90" s="28" t="str">
        <f t="shared" si="21"/>
        <v>0.992949791179438-0.0832508217882546i</v>
      </c>
      <c r="E90" s="1">
        <f t="shared" si="15"/>
        <v>-3.1032430215858525E-2</v>
      </c>
      <c r="F90" s="7">
        <f t="shared" si="22"/>
        <v>-4.7925796520621882</v>
      </c>
      <c r="G90" s="6" t="str">
        <f t="shared" si="16"/>
        <v>65.9845399203497+5.45291075230298i</v>
      </c>
      <c r="H90" s="1">
        <f t="shared" si="23"/>
        <v>36.418402056355895</v>
      </c>
      <c r="I90" s="7">
        <f t="shared" si="24"/>
        <v>4.7241438008819845</v>
      </c>
      <c r="J90" s="28" t="str">
        <f t="shared" si="17"/>
        <v>65.9732944362497-0.0788005808696475i</v>
      </c>
      <c r="K90" s="1">
        <f t="shared" si="25"/>
        <v>36.387369626140028</v>
      </c>
      <c r="L90" s="7">
        <f t="shared" si="26"/>
        <v>-6.8435851180203539E-2</v>
      </c>
      <c r="M90" s="28">
        <f t="shared" si="18"/>
        <v>0.48484848484848486</v>
      </c>
      <c r="N90" s="7">
        <f t="shared" si="27"/>
        <v>0.02</v>
      </c>
      <c r="O90" s="6" t="str">
        <f t="shared" si="19"/>
        <v>1.55294113002686-280.620508983339i</v>
      </c>
      <c r="P90" s="1">
        <f t="shared" si="20"/>
        <v>48.962521159273074</v>
      </c>
      <c r="Q90" s="7">
        <f t="shared" si="28"/>
        <v>-89.68293099949976</v>
      </c>
      <c r="R90" s="6" t="str">
        <f t="shared" si="29"/>
        <v>49.5987810509071-4.4346023284251i</v>
      </c>
      <c r="S90" s="81">
        <f t="shared" si="30"/>
        <v>33.943999791143234</v>
      </c>
      <c r="T90" s="88">
        <f t="shared" si="31"/>
        <v>-5.1092016118720212</v>
      </c>
      <c r="U90" s="44" t="str">
        <f>IMPRODUCT(COMPLEX(-1,0),IMDIV(COMPLEX(1,C90*Calculations!$B$204*Calculations!$B$206),IMPRODUCT(COMPLEX(0,C90*Calculations!$B$193),COMPLEX((Calculations!$B$206+Calculations!$B$208),C90*Calculations!$B$204*Calculations!$B$206*Calculations!$B$208))))</f>
        <v>-0.183165734354874+4.19857761340579i</v>
      </c>
      <c r="V90" s="44">
        <f t="shared" si="32"/>
        <v>12.470301346861776</v>
      </c>
      <c r="W90" s="44">
        <f t="shared" si="33"/>
        <v>92.497982484544551</v>
      </c>
      <c r="X90" s="44">
        <f>Calculations!$B$216/(Calculations!$B$216+Calculations!$B$218)</f>
        <v>0.6875</v>
      </c>
      <c r="Y90" s="44" t="str">
        <f t="shared" si="34"/>
        <v>6.55477962300343+143.726411788171i</v>
      </c>
      <c r="Z90" s="44">
        <f t="shared" si="35"/>
        <v>43.159755188051044</v>
      </c>
      <c r="AA90" s="44">
        <f t="shared" si="36"/>
        <v>87.388780872672541</v>
      </c>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row>
    <row r="91" spans="2:70">
      <c r="B91" s="1">
        <v>21.544346900318843</v>
      </c>
      <c r="C91" s="24">
        <f t="shared" si="14"/>
        <v>135.3671238968634</v>
      </c>
      <c r="D91" s="28" t="str">
        <f t="shared" si="21"/>
        <v>0.988295226591991-0.107013470375709i</v>
      </c>
      <c r="E91" s="1">
        <f t="shared" si="15"/>
        <v>-5.164231195995854E-2</v>
      </c>
      <c r="F91" s="7">
        <f t="shared" si="22"/>
        <v>-6.1799592865328341</v>
      </c>
      <c r="G91" s="6" t="str">
        <f t="shared" si="16"/>
        <v>65.9962503636366+7.04313355011155i</v>
      </c>
      <c r="H91" s="1">
        <f t="shared" si="23"/>
        <v>36.439568357591966</v>
      </c>
      <c r="I91" s="7">
        <f t="shared" si="24"/>
        <v>6.0915613049663007</v>
      </c>
      <c r="J91" s="28" t="str">
        <f t="shared" si="17"/>
        <v>65.9774893708691-0.101792515371749i</v>
      </c>
      <c r="K91" s="1">
        <f t="shared" si="25"/>
        <v>36.387926045632007</v>
      </c>
      <c r="L91" s="7">
        <f t="shared" si="26"/>
        <v>-8.8397981566530462E-2</v>
      </c>
      <c r="M91" s="28">
        <f t="shared" si="18"/>
        <v>0.48484848484848486</v>
      </c>
      <c r="N91" s="7">
        <f t="shared" si="27"/>
        <v>0.02</v>
      </c>
      <c r="O91" s="6" t="str">
        <f t="shared" si="19"/>
        <v>1.55294109899779-217.274407643514i</v>
      </c>
      <c r="P91" s="1">
        <f t="shared" si="20"/>
        <v>46.740393344923447</v>
      </c>
      <c r="Q91" s="7">
        <f t="shared" si="28"/>
        <v>-89.590492701423415</v>
      </c>
      <c r="R91" s="6" t="str">
        <f t="shared" si="29"/>
        <v>49.3343436967098-5.69658193306425i</v>
      </c>
      <c r="S91" s="81">
        <f t="shared" si="30"/>
        <v>33.920509239170848</v>
      </c>
      <c r="T91" s="88">
        <f t="shared" si="31"/>
        <v>-6.5867097795757106</v>
      </c>
      <c r="U91" s="44" t="str">
        <f>IMPRODUCT(COMPLEX(-1,0),IMDIV(COMPLEX(1,C91*Calculations!$B$204*Calculations!$B$206),IMPRODUCT(COMPLEX(0,C91*Calculations!$B$193),COMPLEX((Calculations!$B$206+Calculations!$B$208),C91*Calculations!$B$204*Calculations!$B$206*Calculations!$B$208))))</f>
        <v>-0.183165480694354+3.25094257855736i</v>
      </c>
      <c r="V91" s="44">
        <f t="shared" si="32"/>
        <v>10.253950602894605</v>
      </c>
      <c r="W91" s="44">
        <f t="shared" si="33"/>
        <v>93.224764809382918</v>
      </c>
      <c r="X91" s="44">
        <f>Calculations!$B$216/(Calculations!$B$216+Calculations!$B$218)</f>
        <v>0.6875</v>
      </c>
      <c r="Y91" s="44" t="str">
        <f t="shared" si="34"/>
        <v>6.51950198658745+110.980743277869i</v>
      </c>
      <c r="Z91" s="44">
        <f t="shared" si="35"/>
        <v>40.91991389211141</v>
      </c>
      <c r="AA91" s="44">
        <f t="shared" si="36"/>
        <v>86.638055029807191</v>
      </c>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row>
    <row r="92" spans="2:70">
      <c r="B92" s="1">
        <v>27.825594022071257</v>
      </c>
      <c r="C92" s="24">
        <f t="shared" si="14"/>
        <v>174.83336352302226</v>
      </c>
      <c r="D92" s="28" t="str">
        <f t="shared" si="21"/>
        <v>0.9806282623715-0.137130135372542i</v>
      </c>
      <c r="E92" s="1">
        <f t="shared" si="15"/>
        <v>-8.5805454611052712E-2</v>
      </c>
      <c r="F92" s="7">
        <f t="shared" si="22"/>
        <v>-7.9605663272673848</v>
      </c>
      <c r="G92" s="6" t="str">
        <f t="shared" si="16"/>
        <v>66.0157899656703+9.09748008327108i</v>
      </c>
      <c r="H92" s="1">
        <f t="shared" si="23"/>
        <v>36.474659739196788</v>
      </c>
      <c r="I92" s="7">
        <f t="shared" si="24"/>
        <v>7.8463750833979127</v>
      </c>
      <c r="J92" s="28" t="str">
        <f t="shared" si="17"/>
        <v>65.9844880784851-0.131508128700218i</v>
      </c>
      <c r="K92" s="1">
        <f t="shared" si="25"/>
        <v>36.388854284585726</v>
      </c>
      <c r="L92" s="7">
        <f t="shared" si="26"/>
        <v>-0.11419124386947002</v>
      </c>
      <c r="M92" s="28">
        <f t="shared" si="18"/>
        <v>0.48484848484848486</v>
      </c>
      <c r="N92" s="7">
        <f t="shared" si="27"/>
        <v>0.02</v>
      </c>
      <c r="O92" s="6" t="str">
        <f t="shared" si="19"/>
        <v>1.55294104723817-168.227862439364i</v>
      </c>
      <c r="P92" s="1">
        <f t="shared" si="20"/>
        <v>44.518328599948845</v>
      </c>
      <c r="Q92" s="7">
        <f t="shared" si="28"/>
        <v>-89.471107584088159</v>
      </c>
      <c r="R92" s="6" t="str">
        <f t="shared" si="29"/>
        <v>48.8995396981776-7.29174010897759i</v>
      </c>
      <c r="S92" s="81">
        <f t="shared" si="30"/>
        <v>33.881606298352864</v>
      </c>
      <c r="T92" s="88">
        <f t="shared" si="31"/>
        <v>-8.4812659265110373</v>
      </c>
      <c r="U92" s="44" t="str">
        <f>IMPRODUCT(COMPLEX(-1,0),IMDIV(COMPLEX(1,C92*Calculations!$B$204*Calculations!$B$206),IMPRODUCT(COMPLEX(0,C92*Calculations!$B$193),COMPLEX((Calculations!$B$206+Calculations!$B$208),C92*Calculations!$B$204*Calculations!$B$206*Calculations!$B$208))))</f>
        <v>-0.183165057564666+2.51726295732029i</v>
      </c>
      <c r="V92" s="44">
        <f t="shared" si="32"/>
        <v>8.0415049304155044</v>
      </c>
      <c r="W92" s="44">
        <f t="shared" si="33"/>
        <v>94.161711437921355</v>
      </c>
      <c r="X92" s="44">
        <f>Calculations!$B$216/(Calculations!$B$216+Calculations!$B$218)</f>
        <v>0.6875</v>
      </c>
      <c r="Y92" s="44" t="str">
        <f t="shared" si="34"/>
        <v>6.46149643358555+85.5446569374671i</v>
      </c>
      <c r="Z92" s="44">
        <f t="shared" si="35"/>
        <v>38.668565278814377</v>
      </c>
      <c r="AA92" s="44">
        <f t="shared" si="36"/>
        <v>85.68044551141034</v>
      </c>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row>
    <row r="93" spans="2:70">
      <c r="B93" s="1">
        <v>35.938136638046281</v>
      </c>
      <c r="C93" s="24">
        <f t="shared" si="14"/>
        <v>225.80597209158475</v>
      </c>
      <c r="D93" s="28" t="str">
        <f t="shared" si="21"/>
        <v>0.968102942534378-0.174825120450416i</v>
      </c>
      <c r="E93" s="1">
        <f t="shared" si="15"/>
        <v>-0.14220157563795344</v>
      </c>
      <c r="F93" s="7">
        <f t="shared" si="22"/>
        <v>-10.236450897106922</v>
      </c>
      <c r="G93" s="6" t="str">
        <f t="shared" si="16"/>
        <v>66.0483990339812+11.7518370679845i</v>
      </c>
      <c r="H93" s="1">
        <f t="shared" si="23"/>
        <v>36.532604465692607</v>
      </c>
      <c r="I93" s="7">
        <f t="shared" si="24"/>
        <v>10.088922279328473</v>
      </c>
      <c r="J93" s="28" t="str">
        <f t="shared" si="17"/>
        <v>65.996165785406-0.169931270972569i</v>
      </c>
      <c r="K93" s="1">
        <f t="shared" si="25"/>
        <v>36.390402890054652</v>
      </c>
      <c r="L93" s="7">
        <f t="shared" si="26"/>
        <v>-0.14752861777848184</v>
      </c>
      <c r="M93" s="28">
        <f t="shared" si="18"/>
        <v>0.48484848484848486</v>
      </c>
      <c r="N93" s="7">
        <f t="shared" si="27"/>
        <v>0.02</v>
      </c>
      <c r="O93" s="6" t="str">
        <f t="shared" si="19"/>
        <v>1.55294096089793-130.252956038073i</v>
      </c>
      <c r="P93" s="1">
        <f t="shared" si="20"/>
        <v>42.296369052878298</v>
      </c>
      <c r="Q93" s="7">
        <f t="shared" si="28"/>
        <v>-89.316923392365709</v>
      </c>
      <c r="R93" s="6" t="str">
        <f t="shared" si="29"/>
        <v>48.1912797853402-9.27946863006853i</v>
      </c>
      <c r="S93" s="81">
        <f t="shared" si="30"/>
        <v>33.817480905556792</v>
      </c>
      <c r="T93" s="88">
        <f t="shared" si="31"/>
        <v>-10.899187051702215</v>
      </c>
      <c r="U93" s="44" t="str">
        <f>IMPRODUCT(COMPLEX(-1,0),IMDIV(COMPLEX(1,C93*Calculations!$B$204*Calculations!$B$206),IMPRODUCT(COMPLEX(0,C93*Calculations!$B$193),COMPLEX((Calculations!$B$206+Calculations!$B$208),C93*Calculations!$B$204*Calculations!$B$206*Calculations!$B$208))))</f>
        <v>-0.183164351746157+1.9492528369331i</v>
      </c>
      <c r="V93" s="44">
        <f t="shared" si="32"/>
        <v>5.8355420590523943</v>
      </c>
      <c r="W93" s="44">
        <f t="shared" si="33"/>
        <v>95.368117907763192</v>
      </c>
      <c r="X93" s="44">
        <f>Calculations!$B$216/(Calculations!$B$216+Calculations!$B$218)</f>
        <v>0.6875</v>
      </c>
      <c r="Y93" s="44" t="str">
        <f t="shared" si="34"/>
        <v>6.36701039610162+65.7502014765656i</v>
      </c>
      <c r="Z93" s="44">
        <f t="shared" si="35"/>
        <v>36.398477014655178</v>
      </c>
      <c r="AA93" s="44">
        <f t="shared" si="36"/>
        <v>84.468930856060979</v>
      </c>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row>
    <row r="94" spans="2:70">
      <c r="B94" s="1">
        <v>46.415888336127786</v>
      </c>
      <c r="C94" s="24">
        <f t="shared" si="14"/>
        <v>291.63962761324643</v>
      </c>
      <c r="D94" s="28" t="str">
        <f t="shared" si="21"/>
        <v>0.947913585623558-0.221037808396694i</v>
      </c>
      <c r="E94" s="1">
        <f t="shared" si="15"/>
        <v>-0.23467592095746839</v>
      </c>
      <c r="F94" s="7">
        <f t="shared" si="22"/>
        <v>-13.125880527378504</v>
      </c>
      <c r="G94" s="6" t="str">
        <f t="shared" si="16"/>
        <v>66.1028361423708+15.1823697765402i</v>
      </c>
      <c r="H94" s="1">
        <f t="shared" si="23"/>
        <v>36.627662623977109</v>
      </c>
      <c r="I94" s="7">
        <f t="shared" si="24"/>
        <v>12.935243092329195</v>
      </c>
      <c r="J94" s="28" t="str">
        <f t="shared" si="17"/>
        <v>66.0156541692759-0.219651456572438i</v>
      </c>
      <c r="K94" s="1">
        <f t="shared" si="25"/>
        <v>36.392986703019645</v>
      </c>
      <c r="L94" s="7">
        <f t="shared" si="26"/>
        <v>-0.19063743504929068</v>
      </c>
      <c r="M94" s="28">
        <f t="shared" si="18"/>
        <v>0.48484848484848486</v>
      </c>
      <c r="N94" s="7">
        <f t="shared" si="27"/>
        <v>0.02</v>
      </c>
      <c r="O94" s="6" t="str">
        <f t="shared" si="19"/>
        <v>1.55294081687376-100.850432720905i</v>
      </c>
      <c r="P94" s="1">
        <f t="shared" si="20"/>
        <v>40.074584963801044</v>
      </c>
      <c r="Q94" s="7">
        <f t="shared" si="28"/>
        <v>-89.117803258477466</v>
      </c>
      <c r="R94" s="6" t="str">
        <f t="shared" si="29"/>
        <v>47.055016578749-11.6985896977697i</v>
      </c>
      <c r="S94" s="81">
        <f t="shared" si="30"/>
        <v>33.712584639167325</v>
      </c>
      <c r="T94" s="88">
        <f t="shared" si="31"/>
        <v>-13.961540171266083</v>
      </c>
      <c r="U94" s="44" t="str">
        <f>IMPRODUCT(COMPLEX(-1,0),IMDIV(COMPLEX(1,C94*Calculations!$B$204*Calculations!$B$206),IMPRODUCT(COMPLEX(0,C94*Calculations!$B$193),COMPLEX((Calculations!$B$206+Calculations!$B$208),C94*Calculations!$B$204*Calculations!$B$206*Calculations!$B$208))))</f>
        <v>-0.183163174382028+1.50952956822884i</v>
      </c>
      <c r="V94" s="44">
        <f t="shared" si="32"/>
        <v>3.6403070591061137</v>
      </c>
      <c r="W94" s="44">
        <f t="shared" si="33"/>
        <v>96.918330251536844</v>
      </c>
      <c r="X94" s="44">
        <f>Calculations!$B$216/(Calculations!$B$216+Calculations!$B$218)</f>
        <v>0.6875</v>
      </c>
      <c r="Y94" s="44" t="str">
        <f t="shared" si="34"/>
        <v>6.21542683313615+50.30691165772i</v>
      </c>
      <c r="Z94" s="44">
        <f t="shared" si="35"/>
        <v>34.09834574831946</v>
      </c>
      <c r="AA94" s="44">
        <f t="shared" si="36"/>
        <v>82.956790080270778</v>
      </c>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row>
    <row r="95" spans="2:70">
      <c r="B95" s="1">
        <v>59.948425031894104</v>
      </c>
      <c r="C95" s="24">
        <f t="shared" si="14"/>
        <v>376.66706334895395</v>
      </c>
      <c r="D95" s="28" t="str">
        <f t="shared" si="21"/>
        <v>0.91606469427855-0.275788193264308i</v>
      </c>
      <c r="E95" s="1">
        <f t="shared" si="15"/>
        <v>-0.38468019958179556</v>
      </c>
      <c r="F95" s="7">
        <f t="shared" si="22"/>
        <v>-16.75481813188081</v>
      </c>
      <c r="G95" s="6" t="str">
        <f t="shared" si="16"/>
        <v>66.1937594659682+19.618030611308i</v>
      </c>
      <c r="H95" s="1">
        <f t="shared" si="23"/>
        <v>36.781978586555894</v>
      </c>
      <c r="I95" s="7">
        <f t="shared" si="24"/>
        <v>16.508391491885288</v>
      </c>
      <c r="J95" s="28" t="str">
        <f t="shared" si="17"/>
        <v>66.0481872460366-0.284072114196467i</v>
      </c>
      <c r="K95" s="1">
        <f t="shared" si="25"/>
        <v>36.3972983869741</v>
      </c>
      <c r="L95" s="7">
        <f t="shared" si="26"/>
        <v>-0.2464266399955333</v>
      </c>
      <c r="M95" s="28">
        <f t="shared" si="18"/>
        <v>0.48484848484848486</v>
      </c>
      <c r="N95" s="7">
        <f t="shared" si="27"/>
        <v>0.02</v>
      </c>
      <c r="O95" s="6" t="str">
        <f t="shared" si="19"/>
        <v>1.552940576627-78.0852139975954i</v>
      </c>
      <c r="P95" s="1">
        <f t="shared" si="20"/>
        <v>37.85309349318598</v>
      </c>
      <c r="Q95" s="7">
        <f t="shared" si="28"/>
        <v>-88.860665056977325</v>
      </c>
      <c r="R95" s="6" t="str">
        <f t="shared" si="29"/>
        <v>45.2758994071946-14.5303288396576i</v>
      </c>
      <c r="S95" s="81">
        <f t="shared" si="30"/>
        <v>33.543077697912494</v>
      </c>
      <c r="T95" s="88">
        <f t="shared" si="31"/>
        <v>-17.792918872069155</v>
      </c>
      <c r="U95" s="44" t="str">
        <f>IMPRODUCT(COMPLEX(-1,0),IMDIV(COMPLEX(1,C95*Calculations!$B$204*Calculations!$B$206),IMPRODUCT(COMPLEX(0,C95*Calculations!$B$193),COMPLEX((Calculations!$B$206+Calculations!$B$208),C95*Calculations!$B$204*Calculations!$B$206*Calculations!$B$208))))</f>
        <v>-0.183161210453974+1.16915348734613i</v>
      </c>
      <c r="V95" s="44">
        <f t="shared" si="32"/>
        <v>1.4627316070562881</v>
      </c>
      <c r="W95" s="44">
        <f t="shared" si="33"/>
        <v>98.903666869319579</v>
      </c>
      <c r="X95" s="44">
        <f>Calculations!$B$216/(Calculations!$B$216+Calculations!$B$218)</f>
        <v>0.6875</v>
      </c>
      <c r="Y95" s="44" t="str">
        <f t="shared" si="34"/>
        <v>5.97808481555836+38.2221594584638i</v>
      </c>
      <c r="Z95" s="44">
        <f t="shared" si="35"/>
        <v>31.751263355014778</v>
      </c>
      <c r="AA95" s="44">
        <f t="shared" si="36"/>
        <v>81.110747997250414</v>
      </c>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row>
    <row r="96" spans="2:70">
      <c r="B96" s="1">
        <v>77.426368268112768</v>
      </c>
      <c r="C96" s="24">
        <f t="shared" si="14"/>
        <v>486.48421949048191</v>
      </c>
      <c r="D96" s="28" t="str">
        <f t="shared" si="21"/>
        <v>0.867492434289573-0.337101401129959i</v>
      </c>
      <c r="E96" s="1">
        <f t="shared" si="15"/>
        <v>-0.62391608540151744</v>
      </c>
      <c r="F96" s="7">
        <f t="shared" si="22"/>
        <v>-21.235772987660717</v>
      </c>
      <c r="G96" s="6" t="str">
        <f t="shared" si="16"/>
        <v>66.3457542990992+25.3576046014748i</v>
      </c>
      <c r="H96" s="1">
        <f t="shared" si="23"/>
        <v>37.028411318442593</v>
      </c>
      <c r="I96" s="7">
        <f t="shared" si="24"/>
        <v>20.917050039195356</v>
      </c>
      <c r="J96" s="28" t="str">
        <f t="shared" si="17"/>
        <v>66.1025239421601-0.367716589764479i</v>
      </c>
      <c r="K96" s="1">
        <f t="shared" si="25"/>
        <v>36.404495233041075</v>
      </c>
      <c r="L96" s="7">
        <f t="shared" si="26"/>
        <v>-0.3187229484653516</v>
      </c>
      <c r="M96" s="28">
        <f t="shared" si="18"/>
        <v>0.48484848484848486</v>
      </c>
      <c r="N96" s="7">
        <f t="shared" si="27"/>
        <v>0.02</v>
      </c>
      <c r="O96" s="6" t="str">
        <f t="shared" si="19"/>
        <v>1.55294017587144-60.4590446128204i</v>
      </c>
      <c r="P96" s="1">
        <f t="shared" si="20"/>
        <v>35.632089964054572</v>
      </c>
      <c r="Q96" s="7">
        <f t="shared" si="28"/>
        <v>-88.528634410598698</v>
      </c>
      <c r="R96" s="6" t="str">
        <f t="shared" si="29"/>
        <v>42.5936036600806-17.6392492501951i</v>
      </c>
      <c r="S96" s="81">
        <f t="shared" si="30"/>
        <v>33.274321322540963</v>
      </c>
      <c r="T96" s="88">
        <f t="shared" si="31"/>
        <v>-22.495867522140834</v>
      </c>
      <c r="U96" s="44" t="str">
        <f>IMPRODUCT(COMPLEX(-1,0),IMDIV(COMPLEX(1,C96*Calculations!$B$204*Calculations!$B$206),IMPRODUCT(COMPLEX(0,C96*Calculations!$B$193),COMPLEX((Calculations!$B$206+Calculations!$B$208),C96*Calculations!$B$204*Calculations!$B$206*Calculations!$B$208))))</f>
        <v>-0.183157934518253+0.905723297411914i</v>
      </c>
      <c r="V96" s="44">
        <f t="shared" si="32"/>
        <v>-0.68602385263776278</v>
      </c>
      <c r="W96" s="44">
        <f t="shared" si="33"/>
        <v>101.43234069726277</v>
      </c>
      <c r="X96" s="44">
        <f>Calculations!$B$216/(Calculations!$B$216+Calculations!$B$218)</f>
        <v>0.6875</v>
      </c>
      <c r="Y96" s="44" t="str">
        <f t="shared" si="34"/>
        <v>5.62025923572291+28.7435414851632i</v>
      </c>
      <c r="Z96" s="44">
        <f t="shared" si="35"/>
        <v>29.333751519949217</v>
      </c>
      <c r="AA96" s="44">
        <f t="shared" si="36"/>
        <v>78.936473175121975</v>
      </c>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row>
    <row r="97" spans="2:70">
      <c r="B97" s="1">
        <v>100</v>
      </c>
      <c r="C97" s="24">
        <f t="shared" si="14"/>
        <v>628.31853071795865</v>
      </c>
      <c r="D97" s="28" t="str">
        <f t="shared" si="21"/>
        <v>0.797105590150847-0.399649112044623i</v>
      </c>
      <c r="E97" s="1">
        <f t="shared" si="15"/>
        <v>-0.99580030147761001</v>
      </c>
      <c r="F97" s="7">
        <f t="shared" si="22"/>
        <v>-26.628058911635797</v>
      </c>
      <c r="G97" s="6" t="str">
        <f t="shared" si="16"/>
        <v>66.6002062552039+32.7936589634439i</v>
      </c>
      <c r="H97" s="1">
        <f t="shared" si="23"/>
        <v>37.412313205484651</v>
      </c>
      <c r="I97" s="7">
        <f t="shared" si="24"/>
        <v>26.215439256892491</v>
      </c>
      <c r="J97" s="28" t="str">
        <f t="shared" si="17"/>
        <v>66.1933533966569-0.476704410619344i</v>
      </c>
      <c r="K97" s="1">
        <f t="shared" si="25"/>
        <v>36.416512904007028</v>
      </c>
      <c r="L97" s="7">
        <f t="shared" si="26"/>
        <v>-0.41261965474324047</v>
      </c>
      <c r="M97" s="28">
        <f t="shared" si="18"/>
        <v>0.48484848484848486</v>
      </c>
      <c r="N97" s="7">
        <f t="shared" si="27"/>
        <v>0.02</v>
      </c>
      <c r="O97" s="6" t="str">
        <f t="shared" si="19"/>
        <v>1.55293950737133-46.8118873520742i</v>
      </c>
      <c r="P97" s="1">
        <f t="shared" si="20"/>
        <v>33.411899882316796</v>
      </c>
      <c r="Q97" s="7">
        <f t="shared" si="28"/>
        <v>-88.09996421876167</v>
      </c>
      <c r="R97" s="6" t="str">
        <f t="shared" si="29"/>
        <v>38.771696874279-20.7072664026942i</v>
      </c>
      <c r="S97" s="81">
        <f t="shared" si="30"/>
        <v>32.860150706709533</v>
      </c>
      <c r="T97" s="88">
        <f t="shared" si="31"/>
        <v>-28.105873799019488</v>
      </c>
      <c r="U97" s="44" t="str">
        <f>IMPRODUCT(COMPLEX(-1,0),IMDIV(COMPLEX(1,C97*Calculations!$B$204*Calculations!$B$206),IMPRODUCT(COMPLEX(0,C97*Calculations!$B$193),COMPLEX((Calculations!$B$206+Calculations!$B$208),C97*Calculations!$B$204*Calculations!$B$206*Calculations!$B$208))))</f>
        <v>-0.183152470188881+0.701901759554144i</v>
      </c>
      <c r="V97" s="44">
        <f t="shared" si="32"/>
        <v>-2.7884015401697355</v>
      </c>
      <c r="W97" s="44">
        <f t="shared" si="33"/>
        <v>104.62451675126472</v>
      </c>
      <c r="X97" s="44">
        <f>Calculations!$B$216/(Calculations!$B$216+Calculations!$B$218)</f>
        <v>0.6875</v>
      </c>
      <c r="Y97" s="44" t="str">
        <f t="shared" si="34"/>
        <v>5.11041758402227+21.3169751090099i</v>
      </c>
      <c r="Z97" s="44">
        <f t="shared" si="35"/>
        <v>26.817203216585781</v>
      </c>
      <c r="AA97" s="44">
        <f t="shared" si="36"/>
        <v>76.518642952245202</v>
      </c>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row>
    <row r="98" spans="2:70">
      <c r="B98" s="1">
        <v>129.15496650148842</v>
      </c>
      <c r="C98" s="24">
        <f t="shared" si="14"/>
        <v>811.50458787142372</v>
      </c>
      <c r="D98" s="28" t="str">
        <f t="shared" si="21"/>
        <v>0.702308492467669-0.454008626797798i</v>
      </c>
      <c r="E98" s="1">
        <f t="shared" si="15"/>
        <v>-1.5529855769986396</v>
      </c>
      <c r="F98" s="7">
        <f t="shared" si="22"/>
        <v>-32.880722725176597</v>
      </c>
      <c r="G98" s="6" t="str">
        <f t="shared" si="16"/>
        <v>67.0272033902651+42.4477039980931i</v>
      </c>
      <c r="H98" s="1">
        <f t="shared" si="23"/>
        <v>37.989580343238572</v>
      </c>
      <c r="I98" s="7">
        <f t="shared" si="24"/>
        <v>32.345699717388833</v>
      </c>
      <c r="J98" s="28" t="str">
        <f t="shared" si="17"/>
        <v>66.3453979702346-0.619545565696378i</v>
      </c>
      <c r="K98" s="1">
        <f t="shared" si="25"/>
        <v>36.436594766239942</v>
      </c>
      <c r="L98" s="7">
        <f t="shared" si="26"/>
        <v>-0.53502300778778111</v>
      </c>
      <c r="M98" s="28">
        <f t="shared" si="18"/>
        <v>0.48484848484848486</v>
      </c>
      <c r="N98" s="7">
        <f t="shared" si="27"/>
        <v>0.02</v>
      </c>
      <c r="O98" s="6" t="str">
        <f t="shared" si="19"/>
        <v>1.55293839224722-36.2455771089795i</v>
      </c>
      <c r="P98" s="1">
        <f t="shared" si="20"/>
        <v>31.193065356259591</v>
      </c>
      <c r="Q98" s="7">
        <f t="shared" si="28"/>
        <v>-87.546668084805901</v>
      </c>
      <c r="R98" s="6" t="str">
        <f t="shared" si="29"/>
        <v>33.7423678687846-23.2184113295172i</v>
      </c>
      <c r="S98" s="81">
        <f t="shared" si="30"/>
        <v>32.246992938554293</v>
      </c>
      <c r="T98" s="88">
        <f t="shared" si="31"/>
        <v>-34.532192188254832</v>
      </c>
      <c r="U98" s="44" t="str">
        <f>IMPRODUCT(COMPLEX(-1,0),IMDIV(COMPLEX(1,C98*Calculations!$B$204*Calculations!$B$206),IMPRODUCT(COMPLEX(0,C98*Calculations!$B$193),COMPLEX((Calculations!$B$206+Calculations!$B$208),C98*Calculations!$B$204*Calculations!$B$206*Calculations!$B$208))))</f>
        <v>-0.183143355863642+0.544274661161821i</v>
      </c>
      <c r="V98" s="44">
        <f t="shared" si="32"/>
        <v>-4.817804330950942</v>
      </c>
      <c r="W98" s="44">
        <f t="shared" si="33"/>
        <v>108.59760716490656</v>
      </c>
      <c r="X98" s="44">
        <f>Calculations!$B$216/(Calculations!$B$216+Calculations!$B$218)</f>
        <v>0.6875</v>
      </c>
      <c r="Y98" s="44" t="str">
        <f t="shared" si="34"/>
        <v>4.43953295005964+15.5494718550121i</v>
      </c>
      <c r="Z98" s="44">
        <f t="shared" si="35"/>
        <v>24.174642657649322</v>
      </c>
      <c r="AA98" s="44">
        <f t="shared" si="36"/>
        <v>74.065414976651667</v>
      </c>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row>
    <row r="99" spans="2:70">
      <c r="B99" s="1">
        <v>166.81005372000601</v>
      </c>
      <c r="C99" s="24">
        <f t="shared" si="14"/>
        <v>1048.0984786233792</v>
      </c>
      <c r="D99" s="28" t="str">
        <f t="shared" si="21"/>
        <v>0.586485982032269-0.488288825096596i</v>
      </c>
      <c r="E99" s="1">
        <f t="shared" si="15"/>
        <v>-2.3478476051589601</v>
      </c>
      <c r="F99" s="7">
        <f t="shared" si="22"/>
        <v>-39.77964574705976</v>
      </c>
      <c r="G99" s="6" t="str">
        <f t="shared" si="16"/>
        <v>67.7466338944154+55.0249387108791i</v>
      </c>
      <c r="H99" s="1">
        <f t="shared" si="23"/>
        <v>38.818039271018449</v>
      </c>
      <c r="I99" s="7">
        <f t="shared" si="24"/>
        <v>39.084075764385005</v>
      </c>
      <c r="J99" s="28" t="str">
        <f t="shared" si="17"/>
        <v>66.6005137830942-0.808569052437863i</v>
      </c>
      <c r="K99" s="1">
        <f t="shared" si="25"/>
        <v>36.470191665859495</v>
      </c>
      <c r="L99" s="7">
        <f t="shared" si="26"/>
        <v>-0.69556998267465631</v>
      </c>
      <c r="M99" s="28">
        <f t="shared" si="18"/>
        <v>0.48484848484848486</v>
      </c>
      <c r="N99" s="7">
        <f t="shared" si="27"/>
        <v>0.02</v>
      </c>
      <c r="O99" s="6" t="str">
        <f t="shared" si="19"/>
        <v>1.55293653211166-28.0647096325401i</v>
      </c>
      <c r="P99" s="1">
        <f t="shared" si="20"/>
        <v>28.976488267079297</v>
      </c>
      <c r="Q99" s="7">
        <f t="shared" si="28"/>
        <v>-86.8328172583997</v>
      </c>
      <c r="R99" s="6" t="str">
        <f t="shared" si="29"/>
        <v>27.7742907906461-24.5838059305961i</v>
      </c>
      <c r="S99" s="81">
        <f t="shared" si="30"/>
        <v>31.385473322285176</v>
      </c>
      <c r="T99" s="88">
        <f t="shared" si="31"/>
        <v>-41.512945019604778</v>
      </c>
      <c r="U99" s="44" t="str">
        <f>IMPRODUCT(COMPLEX(-1,0),IMDIV(COMPLEX(1,C99*Calculations!$B$204*Calculations!$B$206),IMPRODUCT(COMPLEX(0,C99*Calculations!$B$193),COMPLEX((Calculations!$B$206+Calculations!$B$208),C99*Calculations!$B$204*Calculations!$B$206*Calculations!$B$208))))</f>
        <v>-0.183128154271297+0.42246796008911i</v>
      </c>
      <c r="V99" s="44">
        <f t="shared" si="32"/>
        <v>-6.7363321064414734</v>
      </c>
      <c r="W99" s="44">
        <f t="shared" si="33"/>
        <v>113.43539545020593</v>
      </c>
      <c r="X99" s="44">
        <f>Calculations!$B$216/(Calculations!$B$216+Calculations!$B$218)</f>
        <v>0.6875</v>
      </c>
      <c r="Y99" s="44" t="str">
        <f t="shared" si="34"/>
        <v>3.64348581715264+11.1620677975674i</v>
      </c>
      <c r="Z99" s="44">
        <f t="shared" si="35"/>
        <v>21.394595265889716</v>
      </c>
      <c r="AA99" s="44">
        <f t="shared" si="36"/>
        <v>71.922450430601145</v>
      </c>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row>
    <row r="100" spans="2:70">
      <c r="B100" s="1">
        <v>215.44346900318828</v>
      </c>
      <c r="C100" s="24">
        <f t="shared" si="14"/>
        <v>1353.6712389686331</v>
      </c>
      <c r="D100" s="28" t="str">
        <f t="shared" si="21"/>
        <v>0.460699062482856-0.49306776721616i</v>
      </c>
      <c r="E100" s="1">
        <f t="shared" si="15"/>
        <v>-3.4164564687718029</v>
      </c>
      <c r="F100" s="7">
        <f t="shared" si="22"/>
        <v>-46.943744091599591</v>
      </c>
      <c r="G100" s="6" t="str">
        <f t="shared" si="16"/>
        <v>68.9669731526916+71.5058842456551i</v>
      </c>
      <c r="H100" s="1">
        <f t="shared" si="23"/>
        <v>39.942966856791706</v>
      </c>
      <c r="I100" s="7">
        <f t="shared" si="24"/>
        <v>46.035453082135099</v>
      </c>
      <c r="J100" s="28" t="str">
        <f t="shared" si="17"/>
        <v>67.0302665615477-1.06269763007359i</v>
      </c>
      <c r="K100" s="1">
        <f t="shared" si="25"/>
        <v>36.526510388019908</v>
      </c>
      <c r="L100" s="7">
        <f t="shared" si="26"/>
        <v>-0.90829100946450136</v>
      </c>
      <c r="M100" s="28">
        <f t="shared" si="18"/>
        <v>0.48484848484848486</v>
      </c>
      <c r="N100" s="7">
        <f t="shared" si="27"/>
        <v>0.02</v>
      </c>
      <c r="O100" s="6" t="str">
        <f t="shared" si="19"/>
        <v>1.55293342922844-21.7308746446949i</v>
      </c>
      <c r="P100" s="1">
        <f t="shared" si="20"/>
        <v>26.763666365964145</v>
      </c>
      <c r="Q100" s="7">
        <f t="shared" si="28"/>
        <v>-85.912473262296601</v>
      </c>
      <c r="R100" s="6" t="str">
        <f t="shared" si="29"/>
        <v>21.5027913213291-24.4174352568308i</v>
      </c>
      <c r="S100" s="81">
        <f t="shared" si="30"/>
        <v>30.247241682566258</v>
      </c>
      <c r="T100" s="88">
        <f t="shared" si="31"/>
        <v>-48.631799976929813</v>
      </c>
      <c r="U100" s="44" t="str">
        <f>IMPRODUCT(COMPLEX(-1,0),IMDIV(COMPLEX(1,C100*Calculations!$B$204*Calculations!$B$206),IMPRODUCT(COMPLEX(0,C100*Calculations!$B$193),COMPLEX((Calculations!$B$206+Calculations!$B$208),C100*Calculations!$B$204*Calculations!$B$206*Calculations!$B$208))))</f>
        <v>-0.183102802101958+0.328464987799587i</v>
      </c>
      <c r="V100" s="44">
        <f t="shared" si="32"/>
        <v>-8.4950180625948786</v>
      </c>
      <c r="W100" s="44">
        <f t="shared" si="33"/>
        <v>119.13748042493206</v>
      </c>
      <c r="X100" s="44">
        <f>Calculations!$B$216/(Calculations!$B$216+Calculations!$B$218)</f>
        <v>0.6875</v>
      </c>
      <c r="Y100" s="44" t="str">
        <f t="shared" si="34"/>
        <v>2.80709772047589+7.92949774697183i</v>
      </c>
      <c r="Z100" s="44">
        <f t="shared" si="35"/>
        <v>18.497677670017389</v>
      </c>
      <c r="AA100" s="44">
        <f t="shared" si="36"/>
        <v>70.505680448002266</v>
      </c>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row>
    <row r="101" spans="2:70">
      <c r="B101" s="81">
        <v>278.25594022071277</v>
      </c>
      <c r="C101" s="84">
        <f t="shared" si="14"/>
        <v>1748.3336352302238</v>
      </c>
      <c r="D101" s="87" t="str">
        <f t="shared" si="21"/>
        <v>0.340419841859181-0.466908638292863i</v>
      </c>
      <c r="E101" s="81">
        <f t="shared" si="15"/>
        <v>-4.7639743951286331</v>
      </c>
      <c r="F101" s="88">
        <f t="shared" si="22"/>
        <v>-53.90447001622811</v>
      </c>
      <c r="G101" s="6" t="str">
        <f t="shared" si="16"/>
        <v>71.0606304903099+93.3128663039432i</v>
      </c>
      <c r="H101" s="81">
        <f t="shared" si="23"/>
        <v>41.385207137032502</v>
      </c>
      <c r="I101" s="88">
        <f t="shared" si="24"/>
        <v>52.70960751715171</v>
      </c>
      <c r="J101" s="28" t="str">
        <f t="shared" si="17"/>
        <v>67.7590319351031-1.41327102784775i</v>
      </c>
      <c r="K101" s="81">
        <f t="shared" si="25"/>
        <v>36.621232741903867</v>
      </c>
      <c r="L101" s="88">
        <f t="shared" si="26"/>
        <v>-1.194862499076478</v>
      </c>
      <c r="M101" s="28">
        <f t="shared" si="18"/>
        <v>0.48484848484848486</v>
      </c>
      <c r="N101" s="88">
        <f t="shared" si="27"/>
        <v>0.02</v>
      </c>
      <c r="O101" s="91" t="str">
        <f t="shared" si="19"/>
        <v>1.55292825333487-16.8272212560142i</v>
      </c>
      <c r="P101" s="81">
        <f t="shared" si="20"/>
        <v>24.557079603536888</v>
      </c>
      <c r="Q101" s="88">
        <f t="shared" si="28"/>
        <v>-84.727298228869799</v>
      </c>
      <c r="R101" s="91" t="str">
        <f t="shared" si="29"/>
        <v>15.700161471294-22.773853186161i</v>
      </c>
      <c r="S101" s="81">
        <f t="shared" si="30"/>
        <v>28.837428700354391</v>
      </c>
      <c r="T101" s="88">
        <f t="shared" si="31"/>
        <v>-55.417847038099836</v>
      </c>
      <c r="U101" s="44" t="str">
        <f>IMPRODUCT(COMPLEX(-1,0),IMDIV(COMPLEX(1,C101*Calculations!$B$204*Calculations!$B$206),IMPRODUCT(COMPLEX(0,C101*Calculations!$B$193),COMPLEX((Calculations!$B$206+Calculations!$B$208),C101*Calculations!$B$204*Calculations!$B$206*Calculations!$B$208))))</f>
        <v>-0.183060527751724+0.256078745689337i</v>
      </c>
      <c r="V101" s="44">
        <f t="shared" si="32"/>
        <v>-10.039812128871514</v>
      </c>
      <c r="W101" s="44">
        <f t="shared" si="33"/>
        <v>125.55947095161305</v>
      </c>
      <c r="X101" s="44">
        <f>Calculations!$B$216/(Calculations!$B$216+Calculations!$B$218)</f>
        <v>0.6875</v>
      </c>
      <c r="Y101" s="44" t="str">
        <f t="shared" si="34"/>
        <v>2.03350119067072+5.63026147742296i</v>
      </c>
      <c r="Z101" s="44">
        <f t="shared" si="35"/>
        <v>15.543070621528887</v>
      </c>
      <c r="AA101" s="44">
        <f t="shared" si="36"/>
        <v>70.141623913513172</v>
      </c>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row>
    <row r="102" spans="2:70">
      <c r="B102" s="81">
        <v>359.38136638046274</v>
      </c>
      <c r="C102" s="84">
        <f t="shared" si="14"/>
        <v>2258.0597209158473</v>
      </c>
      <c r="D102" s="87" t="str">
        <f t="shared" si="21"/>
        <v>0.238622281226276-0.417304798526758i</v>
      </c>
      <c r="E102" s="81">
        <f t="shared" si="15"/>
        <v>-6.3623033409329821</v>
      </c>
      <c r="F102" s="88">
        <f t="shared" si="22"/>
        <v>-60.238313048144185</v>
      </c>
      <c r="G102" s="6" t="str">
        <f t="shared" si="16"/>
        <v>74.7224799759683+122.640363149401i</v>
      </c>
      <c r="H102" s="81">
        <f t="shared" si="23"/>
        <v>43.143751676501438</v>
      </c>
      <c r="I102" s="88">
        <f t="shared" si="24"/>
        <v>58.646829784059335</v>
      </c>
      <c r="J102" s="28" t="str">
        <f t="shared" si="17"/>
        <v>69.0088606660596-1.91732622666209i</v>
      </c>
      <c r="K102" s="81">
        <f t="shared" si="25"/>
        <v>36.78144833556847</v>
      </c>
      <c r="L102" s="88">
        <f t="shared" si="26"/>
        <v>-1.5914832640847814</v>
      </c>
      <c r="M102" s="28">
        <f t="shared" si="18"/>
        <v>0.48484848484848486</v>
      </c>
      <c r="N102" s="88">
        <f t="shared" si="27"/>
        <v>0.02</v>
      </c>
      <c r="O102" s="91" t="str">
        <f t="shared" si="19"/>
        <v>1.5529196195008-13.031023610006i</v>
      </c>
      <c r="P102" s="81">
        <f t="shared" si="20"/>
        <v>22.36081405269832</v>
      </c>
      <c r="Q102" s="88">
        <f t="shared" si="28"/>
        <v>-83.204057252372166</v>
      </c>
      <c r="R102" s="91" t="str">
        <f t="shared" si="29"/>
        <v>10.9297597067098-20.1127978722294i</v>
      </c>
      <c r="S102" s="81">
        <f t="shared" si="30"/>
        <v>27.193182625087346</v>
      </c>
      <c r="T102" s="88">
        <f t="shared" si="31"/>
        <v>-61.479319663094145</v>
      </c>
      <c r="U102" s="44" t="str">
        <f>IMPRODUCT(COMPLEX(-1,0),IMDIV(COMPLEX(1,C102*Calculations!$B$204*Calculations!$B$206),IMPRODUCT(COMPLEX(0,C102*Calculations!$B$193),COMPLEX((Calculations!$B$206+Calculations!$B$208),C102*Calculations!$B$204*Calculations!$B$206*Calculations!$B$208))))</f>
        <v>-0.182990053308014+0.200544503201648i</v>
      </c>
      <c r="V102" s="44">
        <f t="shared" si="32"/>
        <v>-11.325121392337509</v>
      </c>
      <c r="W102" s="44">
        <f t="shared" si="33"/>
        <v>132.37939018983488</v>
      </c>
      <c r="X102" s="44">
        <f>Calculations!$B$216/(Calculations!$B$216+Calculations!$B$218)</f>
        <v>0.6875</v>
      </c>
      <c r="Y102" s="44" t="str">
        <f t="shared" si="34"/>
        <v>1.39801320031093+4.0372373148993i</v>
      </c>
      <c r="Z102" s="44">
        <f t="shared" si="35"/>
        <v>12.613515282795845</v>
      </c>
      <c r="AA102" s="44">
        <f t="shared" si="36"/>
        <v>70.900070526740635</v>
      </c>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row>
    <row r="103" spans="2:70">
      <c r="B103" s="81">
        <v>464.15888336127819</v>
      </c>
      <c r="C103" s="84">
        <f t="shared" si="14"/>
        <v>2916.3962761324665</v>
      </c>
      <c r="D103" s="87" t="str">
        <f t="shared" si="21"/>
        <v>0.160995445243533-0.356046255512821i</v>
      </c>
      <c r="E103" s="81">
        <f t="shared" si="15"/>
        <v>-8.1619375823916638</v>
      </c>
      <c r="F103" s="88">
        <f t="shared" si="22"/>
        <v>-65.668675693622006</v>
      </c>
      <c r="G103" s="6" t="str">
        <f t="shared" si="16"/>
        <v>81.3425828320203+163.176260042865i</v>
      </c>
      <c r="H103" s="81">
        <f t="shared" si="23"/>
        <v>45.217016156112571</v>
      </c>
      <c r="I103" s="88">
        <f t="shared" si="24"/>
        <v>63.503965157528199</v>
      </c>
      <c r="J103" s="28" t="str">
        <f t="shared" si="17"/>
        <v>71.1940817171486-2.69108739230669i</v>
      </c>
      <c r="K103" s="81">
        <f t="shared" si="25"/>
        <v>37.05507857372092</v>
      </c>
      <c r="L103" s="88">
        <f t="shared" si="26"/>
        <v>-2.1647105360937569</v>
      </c>
      <c r="M103" s="28">
        <f t="shared" si="18"/>
        <v>0.48484848484848486</v>
      </c>
      <c r="N103" s="88">
        <f t="shared" si="27"/>
        <v>0.02</v>
      </c>
      <c r="O103" s="91" t="str">
        <f t="shared" si="19"/>
        <v>1.55290521761119-10.0924412072819i</v>
      </c>
      <c r="P103" s="81">
        <f t="shared" si="20"/>
        <v>20.181547258417151</v>
      </c>
      <c r="Q103" s="88">
        <f t="shared" si="28"/>
        <v>-81.252606815795531</v>
      </c>
      <c r="R103" s="91" t="str">
        <f t="shared" si="29"/>
        <v>7.37326966035405-17.0284896999752i</v>
      </c>
      <c r="S103" s="81">
        <f t="shared" si="30"/>
        <v>25.369806227062899</v>
      </c>
      <c r="T103" s="88">
        <f t="shared" si="31"/>
        <v>-66.587576495563795</v>
      </c>
      <c r="U103" s="44" t="str">
        <f>IMPRODUCT(COMPLEX(-1,0),IMDIV(COMPLEX(1,C103*Calculations!$B$204*Calculations!$B$206),IMPRODUCT(COMPLEX(0,C103*Calculations!$B$193),COMPLEX((Calculations!$B$206+Calculations!$B$208),C103*Calculations!$B$204*Calculations!$B$206*Calculations!$B$208))))</f>
        <v>-0.182872615524742+0.158205753619244i</v>
      </c>
      <c r="V103" s="44">
        <f t="shared" si="32"/>
        <v>-12.330561065950732</v>
      </c>
      <c r="W103" s="44">
        <f t="shared" si="33"/>
        <v>139.13644178586611</v>
      </c>
      <c r="X103" s="44">
        <f>Calculations!$B$216/(Calculations!$B$216+Calculations!$B$218)</f>
        <v>0.6875</v>
      </c>
      <c r="Y103" s="44" t="str">
        <f t="shared" si="34"/>
        <v>0.925124707528959+2.94286996652331i</v>
      </c>
      <c r="Z103" s="44">
        <f t="shared" si="35"/>
        <v>9.7846992111581734</v>
      </c>
      <c r="AA103" s="44">
        <f t="shared" si="36"/>
        <v>72.548865290302302</v>
      </c>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row>
    <row r="104" spans="2:70">
      <c r="B104" s="81">
        <v>599.48425031894124</v>
      </c>
      <c r="C104" s="84">
        <f t="shared" si="14"/>
        <v>3766.6706334895407</v>
      </c>
      <c r="D104" s="87" t="str">
        <f t="shared" si="21"/>
        <v>0.106376396672372-0.293619993281428i</v>
      </c>
      <c r="E104" s="81">
        <f t="shared" si="15"/>
        <v>-10.108678397246607</v>
      </c>
      <c r="F104" s="88">
        <f t="shared" si="22"/>
        <v>-70.08491510970461</v>
      </c>
      <c r="G104" s="6" t="str">
        <f t="shared" si="16"/>
        <v>94.0253362328152+221.863125353472i</v>
      </c>
      <c r="H104" s="81">
        <f t="shared" si="23"/>
        <v>47.639070274870747</v>
      </c>
      <c r="I104" s="88">
        <f t="shared" si="24"/>
        <v>67.032825297205747</v>
      </c>
      <c r="J104" s="28" t="str">
        <f t="shared" si="17"/>
        <v>75.1455258400379-4.00671876339006i</v>
      </c>
      <c r="K104" s="81">
        <f t="shared" si="25"/>
        <v>37.530391877624105</v>
      </c>
      <c r="L104" s="88">
        <f t="shared" si="26"/>
        <v>-3.0520898124988594</v>
      </c>
      <c r="M104" s="28">
        <f t="shared" si="18"/>
        <v>0.48484848484848486</v>
      </c>
      <c r="N104" s="88">
        <f t="shared" si="27"/>
        <v>0.02</v>
      </c>
      <c r="O104" s="91" t="str">
        <f t="shared" si="19"/>
        <v>1.55288119440583-7.81807605118831i</v>
      </c>
      <c r="P104" s="81">
        <f t="shared" si="20"/>
        <v>18.03004511285171</v>
      </c>
      <c r="Q104" s="88">
        <f t="shared" si="28"/>
        <v>-78.765727478572785</v>
      </c>
      <c r="R104" s="91" t="str">
        <f t="shared" si="29"/>
        <v>4.90796748375071-13.9986754916796i</v>
      </c>
      <c r="S104" s="81">
        <f t="shared" si="30"/>
        <v>23.425234656049998</v>
      </c>
      <c r="T104" s="88">
        <f t="shared" si="31"/>
        <v>-70.6792175922929</v>
      </c>
      <c r="U104" s="44" t="str">
        <f>IMPRODUCT(COMPLEX(-1,0),IMDIV(COMPLEX(1,C104*Calculations!$B$204*Calculations!$B$206),IMPRODUCT(COMPLEX(0,C104*Calculations!$B$193),COMPLEX((Calculations!$B$206+Calculations!$B$208),C104*Calculations!$B$204*Calculations!$B$206*Calculations!$B$208))))</f>
        <v>-0.18267705257494+0.126272578286743i</v>
      </c>
      <c r="V104" s="44">
        <f t="shared" si="32"/>
        <v>-13.070150660330516</v>
      </c>
      <c r="W104" s="44">
        <f t="shared" si="33"/>
        <v>145.34645599698922</v>
      </c>
      <c r="X104" s="44">
        <f>Calculations!$B$216/(Calculations!$B$216+Calculations!$B$218)</f>
        <v>0.6875</v>
      </c>
      <c r="Y104" s="44" t="str">
        <f t="shared" si="34"/>
        <v>0.598864621347161+2.18417270987697i</v>
      </c>
      <c r="Z104" s="44">
        <f t="shared" si="35"/>
        <v>7.1005380457654788</v>
      </c>
      <c r="AA104" s="44">
        <f t="shared" si="36"/>
        <v>74.667238404696334</v>
      </c>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row>
    <row r="105" spans="2:70">
      <c r="B105" s="81">
        <v>774.26368268112776</v>
      </c>
      <c r="C105" s="84">
        <f t="shared" si="14"/>
        <v>4864.8421949048197</v>
      </c>
      <c r="D105" s="87" t="str">
        <f t="shared" si="21"/>
        <v>0.0700852468862561-0.236571824805166i</v>
      </c>
      <c r="E105" s="81">
        <f t="shared" si="15"/>
        <v>-12.15538410073459</v>
      </c>
      <c r="F105" s="88">
        <f t="shared" si="22"/>
        <v>-73.497889281481008</v>
      </c>
      <c r="G105" s="6" t="str">
        <f t="shared" si="16"/>
        <v>121.026185102701+313.874077438862i</v>
      </c>
      <c r="H105" s="81">
        <f t="shared" si="23"/>
        <v>50.53709341453132</v>
      </c>
      <c r="I105" s="88">
        <f t="shared" si="24"/>
        <v>68.913942270599705</v>
      </c>
      <c r="J105" s="28" t="str">
        <f t="shared" si="17"/>
        <v>82.7359133213742-6.63344325045529i</v>
      </c>
      <c r="K105" s="81">
        <f t="shared" si="25"/>
        <v>38.38170931379674</v>
      </c>
      <c r="L105" s="88">
        <f t="shared" si="26"/>
        <v>-4.5839470108813165</v>
      </c>
      <c r="M105" s="28">
        <f t="shared" si="18"/>
        <v>0.48484848484848486</v>
      </c>
      <c r="N105" s="88">
        <f t="shared" si="27"/>
        <v>0.02</v>
      </c>
      <c r="O105" s="91" t="str">
        <f t="shared" si="19"/>
        <v>1.55284112293806-6.05824444651313i</v>
      </c>
      <c r="P105" s="81">
        <f t="shared" si="20"/>
        <v>15.923282489493184</v>
      </c>
      <c r="Q105" s="88">
        <f t="shared" si="28"/>
        <v>-75.623529631934446</v>
      </c>
      <c r="R105" s="91" t="str">
        <f t="shared" si="29"/>
        <v>3.27989352260306-11.2974048640656i</v>
      </c>
      <c r="S105" s="81">
        <f t="shared" si="30"/>
        <v>21.411017537122504</v>
      </c>
      <c r="T105" s="88">
        <f t="shared" si="31"/>
        <v>-73.810785380464409</v>
      </c>
      <c r="U105" s="44" t="str">
        <f>IMPRODUCT(COMPLEX(-1,0),IMDIV(COMPLEX(1,C105*Calculations!$B$204*Calculations!$B$206),IMPRODUCT(COMPLEX(0,C105*Calculations!$B$193),COMPLEX((Calculations!$B$206+Calculations!$B$208),C105*Calculations!$B$204*Calculations!$B$206*Calculations!$B$208))))</f>
        <v>-0.182351763039858+0.102635920556917i</v>
      </c>
      <c r="V105" s="44">
        <f t="shared" si="32"/>
        <v>-13.586617748001446</v>
      </c>
      <c r="W105" s="44">
        <f t="shared" si="33"/>
        <v>150.62719875646948</v>
      </c>
      <c r="X105" s="44">
        <f>Calculations!$B$216/(Calculations!$B$216+Calculations!$B$218)</f>
        <v>0.6875</v>
      </c>
      <c r="Y105" s="44" t="str">
        <f t="shared" si="34"/>
        <v>0.385979812417297+1.64775640270894i</v>
      </c>
      <c r="Z105" s="44">
        <f t="shared" si="35"/>
        <v>4.5698538391670427</v>
      </c>
      <c r="AA105" s="44">
        <f t="shared" si="36"/>
        <v>76.816413376005045</v>
      </c>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row>
    <row r="106" spans="2:70">
      <c r="B106" s="81">
        <v>1000</v>
      </c>
      <c r="C106" s="84">
        <f t="shared" si="14"/>
        <v>6283.1853071795858</v>
      </c>
      <c r="D106" s="87" t="str">
        <f t="shared" si="21"/>
        <v>0.0468808070228539-0.187739642225335i</v>
      </c>
      <c r="E106" s="81">
        <f t="shared" si="15"/>
        <v>-14.266179567762471</v>
      </c>
      <c r="F106" s="88">
        <f t="shared" si="22"/>
        <v>-75.979298026477821</v>
      </c>
      <c r="G106" s="6" t="str">
        <f t="shared" si="16"/>
        <v>191.651870432963+479.827774895396i</v>
      </c>
      <c r="H106" s="81">
        <f t="shared" si="23"/>
        <v>54.264545440093542</v>
      </c>
      <c r="I106" s="88">
        <f t="shared" si="24"/>
        <v>68.227340872839576</v>
      </c>
      <c r="J106" s="28" t="str">
        <f t="shared" si="17"/>
        <v>99.0674891419769-13.4859402678242i</v>
      </c>
      <c r="K106" s="81">
        <f t="shared" si="25"/>
        <v>39.998365872331071</v>
      </c>
      <c r="L106" s="88">
        <f t="shared" si="26"/>
        <v>-7.751957153638191</v>
      </c>
      <c r="M106" s="28">
        <f t="shared" si="18"/>
        <v>0.48484848484848486</v>
      </c>
      <c r="N106" s="88">
        <f t="shared" si="27"/>
        <v>0.02</v>
      </c>
      <c r="O106" s="91" t="str">
        <f t="shared" si="19"/>
        <v>1.55277428430304-4.69712574613495i</v>
      </c>
      <c r="P106" s="81">
        <f t="shared" si="20"/>
        <v>13.887066992101202</v>
      </c>
      <c r="Q106" s="88">
        <f t="shared" si="28"/>
        <v>-71.707164186678781</v>
      </c>
      <c r="R106" s="91" t="str">
        <f t="shared" si="29"/>
        <v>2.23204606996691-9.0288556998547i</v>
      </c>
      <c r="S106" s="81">
        <f t="shared" si="30"/>
        <v>19.370274788387412</v>
      </c>
      <c r="T106" s="88">
        <f t="shared" si="31"/>
        <v>-76.114171524301895</v>
      </c>
      <c r="U106" s="44" t="str">
        <f>IMPRODUCT(COMPLEX(-1,0),IMDIV(COMPLEX(1,C106*Calculations!$B$204*Calculations!$B$206),IMPRODUCT(COMPLEX(0,C106*Calculations!$B$193),COMPLEX((Calculations!$B$206+Calculations!$B$208),C106*Calculations!$B$204*Calculations!$B$206*Calculations!$B$208))))</f>
        <v>-0.181811717743059+0.0857242959504286i</v>
      </c>
      <c r="V106" s="44">
        <f t="shared" si="32"/>
        <v>-13.935739647869433</v>
      </c>
      <c r="W106" s="44">
        <f t="shared" si="33"/>
        <v>154.75610412072405</v>
      </c>
      <c r="X106" s="44">
        <f>Calculations!$B$216/(Calculations!$B$216+Calculations!$B$218)</f>
        <v>0.6875</v>
      </c>
      <c r="Y106" s="44" t="str">
        <f t="shared" si="34"/>
        <v>0.25312386553144+1.26011348507112i</v>
      </c>
      <c r="Z106" s="44">
        <f t="shared" si="35"/>
        <v>2.1799891905639974</v>
      </c>
      <c r="AA106" s="44">
        <f t="shared" si="36"/>
        <v>78.641932596422166</v>
      </c>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row>
    <row r="107" spans="2:70">
      <c r="B107" s="81">
        <v>1291.5496650148843</v>
      </c>
      <c r="C107" s="84">
        <f t="shared" si="14"/>
        <v>8115.0458787142379</v>
      </c>
      <c r="D107" s="87" t="str">
        <f t="shared" si="21"/>
        <v>0.0324064698512532-0.147567464575238i</v>
      </c>
      <c r="E107" s="81">
        <f t="shared" si="15"/>
        <v>-16.415637963824572</v>
      </c>
      <c r="F107" s="88">
        <f t="shared" si="22"/>
        <v>-77.614201102345092</v>
      </c>
      <c r="G107" s="6" t="str">
        <f t="shared" si="16"/>
        <v>484.571432670389+858.538286497621i</v>
      </c>
      <c r="H107" s="81">
        <f t="shared" si="23"/>
        <v>59.876204483479675</v>
      </c>
      <c r="I107" s="88">
        <f t="shared" si="24"/>
        <v>60.558988449062888</v>
      </c>
      <c r="J107" s="28" t="str">
        <f t="shared" si="17"/>
        <v>142.395567702835-43.6847826272283i</v>
      </c>
      <c r="K107" s="81">
        <f t="shared" si="25"/>
        <v>43.460566519655117</v>
      </c>
      <c r="L107" s="88">
        <f t="shared" si="26"/>
        <v>-17.055212653282197</v>
      </c>
      <c r="M107" s="28">
        <f t="shared" si="18"/>
        <v>0.48484848484848486</v>
      </c>
      <c r="N107" s="88">
        <f t="shared" si="27"/>
        <v>0.02</v>
      </c>
      <c r="O107" s="91" t="str">
        <f t="shared" si="19"/>
        <v>1.55266280354336-3.64513965946412i</v>
      </c>
      <c r="P107" s="81">
        <f t="shared" si="20"/>
        <v>11.958389276684763</v>
      </c>
      <c r="Q107" s="88">
        <f t="shared" si="28"/>
        <v>-66.928213131221753</v>
      </c>
      <c r="R107" s="91" t="str">
        <f t="shared" si="29"/>
        <v>1.55836284214648-7.19417050488738i</v>
      </c>
      <c r="S107" s="81">
        <f t="shared" si="30"/>
        <v>17.338757434472758</v>
      </c>
      <c r="T107" s="88">
        <f t="shared" si="31"/>
        <v>-77.777723169792665</v>
      </c>
      <c r="U107" s="44" t="str">
        <f>IMPRODUCT(COMPLEX(-1,0),IMDIV(COMPLEX(1,C107*Calculations!$B$204*Calculations!$B$206),IMPRODUCT(COMPLEX(0,C107*Calculations!$B$193),COMPLEX((Calculations!$B$206+Calculations!$B$208),C107*Calculations!$B$204*Calculations!$B$206*Calculations!$B$208))))</f>
        <v>-0.180917951176675+0.0743909321398918i</v>
      </c>
      <c r="V107" s="44">
        <f t="shared" si="32"/>
        <v>-14.171946976452411</v>
      </c>
      <c r="W107" s="44">
        <f t="shared" si="33"/>
        <v>157.64822034587149</v>
      </c>
      <c r="X107" s="44">
        <f>Calculations!$B$216/(Calculations!$B$216+Calculations!$B$218)</f>
        <v>0.6875</v>
      </c>
      <c r="Y107" s="44" t="str">
        <f t="shared" si="34"/>
        <v>0.17410610060311+0.974519323662046i</v>
      </c>
      <c r="Z107" s="44">
        <f t="shared" si="35"/>
        <v>-8.7735491933635182E-2</v>
      </c>
      <c r="AA107" s="44">
        <f t="shared" si="36"/>
        <v>79.870497176078842</v>
      </c>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row>
    <row r="108" spans="2:70">
      <c r="B108" s="81">
        <v>1668.1005372000604</v>
      </c>
      <c r="C108" s="84">
        <f t="shared" si="14"/>
        <v>10480.984786233794</v>
      </c>
      <c r="D108" s="87" t="str">
        <f t="shared" si="21"/>
        <v>0.0235166266549406-0.115305865914859i</v>
      </c>
      <c r="E108" s="81">
        <f t="shared" si="15"/>
        <v>-18.585980661097508</v>
      </c>
      <c r="F108" s="88">
        <f t="shared" si="22"/>
        <v>-78.472622210733235</v>
      </c>
      <c r="G108" s="6" t="str">
        <f t="shared" si="16"/>
        <v>2748.09510462811+1.72017686261479i</v>
      </c>
      <c r="H108" s="81">
        <f t="shared" si="23"/>
        <v>68.780636871283008</v>
      </c>
      <c r="I108" s="88">
        <f t="shared" si="24"/>
        <v>3.5864428856763789E-2</v>
      </c>
      <c r="J108" s="28" t="str">
        <f t="shared" si="17"/>
        <v>64.8242730704796-316.83103289847i</v>
      </c>
      <c r="K108" s="81">
        <f t="shared" si="25"/>
        <v>50.194656210185478</v>
      </c>
      <c r="L108" s="88">
        <f t="shared" si="26"/>
        <v>-78.43675778187648</v>
      </c>
      <c r="M108" s="28">
        <f t="shared" si="18"/>
        <v>0.48484848484848486</v>
      </c>
      <c r="N108" s="88">
        <f t="shared" si="27"/>
        <v>0.02</v>
      </c>
      <c r="O108" s="91" t="str">
        <f t="shared" si="19"/>
        <v>1.55247687804577-2.83305035702589i</v>
      </c>
      <c r="P108" s="81">
        <f t="shared" si="20"/>
        <v>10.185490009091726</v>
      </c>
      <c r="Q108" s="88">
        <f t="shared" si="28"/>
        <v>-61.277798692218468</v>
      </c>
      <c r="R108" s="91" t="str">
        <f t="shared" si="29"/>
        <v>1.11112370957286-5.74450438921283i</v>
      </c>
      <c r="S108" s="81">
        <f t="shared" si="30"/>
        <v>15.344567148650565</v>
      </c>
      <c r="T108" s="88">
        <f t="shared" si="31"/>
        <v>-79.052819602653102</v>
      </c>
      <c r="U108" s="44" t="str">
        <f>IMPRODUCT(COMPLEX(-1,0),IMDIV(COMPLEX(1,C108*Calculations!$B$204*Calculations!$B$206),IMPRODUCT(COMPLEX(0,C108*Calculations!$B$193),COMPLEX((Calculations!$B$206+Calculations!$B$208),C108*Calculations!$B$204*Calculations!$B$206*Calculations!$B$208))))</f>
        <v>-0.179446454320817+0.0678187684166397i</v>
      </c>
      <c r="V108" s="44">
        <f t="shared" si="32"/>
        <v>-14.341472799884858</v>
      </c>
      <c r="W108" s="44">
        <f t="shared" si="33"/>
        <v>159.29675799612977</v>
      </c>
      <c r="X108" s="44">
        <f>Calculations!$B$216/(Calculations!$B$216+Calculations!$B$218)</f>
        <v>0.6875</v>
      </c>
      <c r="Y108" s="44" t="str">
        <f t="shared" si="34"/>
        <v>0.130761126956455+0.760502865386254i</v>
      </c>
      <c r="Z108" s="44">
        <f t="shared" si="35"/>
        <v>-2.2514516011883066</v>
      </c>
      <c r="AA108" s="44">
        <f t="shared" si="36"/>
        <v>80.243938393476625</v>
      </c>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row>
    <row r="109" spans="2:70">
      <c r="B109" s="81">
        <v>2154.4346900318833</v>
      </c>
      <c r="C109" s="84">
        <f t="shared" si="14"/>
        <v>13536.712389686336</v>
      </c>
      <c r="D109" s="87" t="str">
        <f t="shared" si="21"/>
        <v>0.0181085554801781-0.0897715892034118i</v>
      </c>
      <c r="E109" s="81">
        <f t="shared" si="15"/>
        <v>-20.764007095677762</v>
      </c>
      <c r="F109" s="88">
        <f t="shared" si="22"/>
        <v>-78.595444488538405</v>
      </c>
      <c r="G109" s="6" t="str">
        <f t="shared" si="16"/>
        <v>319.593106195877-1015.56827136704i</v>
      </c>
      <c r="H109" s="81">
        <f t="shared" si="23"/>
        <v>60.544286766936651</v>
      </c>
      <c r="I109" s="88">
        <f t="shared" si="24"/>
        <v>-72.531530906923109</v>
      </c>
      <c r="J109" s="28" t="str">
        <f t="shared" si="17"/>
        <v>-85.3818081705509-47.0808554276172i</v>
      </c>
      <c r="K109" s="81">
        <f t="shared" si="25"/>
        <v>39.780279671258924</v>
      </c>
      <c r="L109" s="88">
        <f t="shared" si="26"/>
        <v>-151.12697539546167</v>
      </c>
      <c r="M109" s="28">
        <f t="shared" si="18"/>
        <v>0.48484848484848486</v>
      </c>
      <c r="N109" s="88">
        <f t="shared" si="27"/>
        <v>0.02</v>
      </c>
      <c r="O109" s="91" t="str">
        <f t="shared" si="19"/>
        <v>1.55216683469252-2.2074091472882i</v>
      </c>
      <c r="P109" s="81">
        <f t="shared" si="20"/>
        <v>8.6224334044912538</v>
      </c>
      <c r="Q109" s="88">
        <f t="shared" si="28"/>
        <v>-54.886559745579142</v>
      </c>
      <c r="R109" s="91" t="str">
        <f t="shared" si="29"/>
        <v>0.791212511446695-4.61171923361874i</v>
      </c>
      <c r="S109" s="81">
        <f t="shared" si="30"/>
        <v>13.403245489706794</v>
      </c>
      <c r="T109" s="88">
        <f t="shared" si="31"/>
        <v>-80.264792986399428</v>
      </c>
      <c r="U109" s="44" t="str">
        <f>IMPRODUCT(COMPLEX(-1,0),IMDIV(COMPLEX(1,C109*Calculations!$B$204*Calculations!$B$206),IMPRODUCT(COMPLEX(0,C109*Calculations!$B$193),COMPLEX((Calculations!$B$206+Calculations!$B$208),C109*Calculations!$B$204*Calculations!$B$206*Calculations!$B$208))))</f>
        <v>-0.177044403985012+0.0654273579921418i</v>
      </c>
      <c r="V109" s="44">
        <f t="shared" si="32"/>
        <v>-14.482395173827259</v>
      </c>
      <c r="W109" s="44">
        <f t="shared" si="33"/>
        <v>159.71803761977705</v>
      </c>
      <c r="X109" s="44">
        <f>Calculations!$B$216/(Calculations!$B$216+Calculations!$B$218)</f>
        <v>0.6875</v>
      </c>
      <c r="Y109" s="44" t="str">
        <f t="shared" si="34"/>
        <v>0.111136339698075+0.596919143766365i</v>
      </c>
      <c r="Z109" s="44">
        <f t="shared" si="35"/>
        <v>-4.3336956340744575</v>
      </c>
      <c r="AA109" s="44">
        <f t="shared" si="36"/>
        <v>79.453244633377622</v>
      </c>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row>
    <row r="110" spans="2:70">
      <c r="B110" s="81">
        <v>2782.5594022071282</v>
      </c>
      <c r="C110" s="84">
        <f t="shared" si="14"/>
        <v>17483.336352302242</v>
      </c>
      <c r="D110" s="87" t="str">
        <f t="shared" si="21"/>
        <v>0.0148376867620301-0.0697384220089262i</v>
      </c>
      <c r="E110" s="81">
        <f t="shared" si="15"/>
        <v>-22.938282485731641</v>
      </c>
      <c r="F110" s="88">
        <f t="shared" si="22"/>
        <v>-77.988738052562994</v>
      </c>
      <c r="G110" s="6" t="str">
        <f t="shared" si="16"/>
        <v>66.3330469708298-530.131485240937i</v>
      </c>
      <c r="H110" s="81">
        <f t="shared" si="23"/>
        <v>54.555140183386364</v>
      </c>
      <c r="I110" s="88">
        <f t="shared" si="24"/>
        <v>-82.867895271858032</v>
      </c>
      <c r="J110" s="28" t="str">
        <f t="shared" si="17"/>
        <v>-35.9863042650271-12.4918869434845i</v>
      </c>
      <c r="K110" s="81">
        <f t="shared" si="25"/>
        <v>31.61685769765473</v>
      </c>
      <c r="L110" s="88">
        <f t="shared" si="26"/>
        <v>-160.85663332442095</v>
      </c>
      <c r="M110" s="28">
        <f t="shared" si="18"/>
        <v>0.48484848484848486</v>
      </c>
      <c r="N110" s="88">
        <f t="shared" si="27"/>
        <v>0.02</v>
      </c>
      <c r="O110" s="91" t="str">
        <f t="shared" si="19"/>
        <v>1.55164992669435-1.72703537353573i</v>
      </c>
      <c r="P110" s="81">
        <f t="shared" si="20"/>
        <v>7.3161041301482852</v>
      </c>
      <c r="Q110" s="88">
        <f t="shared" si="28"/>
        <v>-48.061982656382078</v>
      </c>
      <c r="R110" s="91" t="str">
        <f t="shared" si="29"/>
        <v>0.537268581749809-3.72347404957614i</v>
      </c>
      <c r="S110" s="81">
        <f t="shared" si="30"/>
        <v>11.508459452298272</v>
      </c>
      <c r="T110" s="88">
        <f t="shared" si="31"/>
        <v>-81.789330805201288</v>
      </c>
      <c r="U110" s="44" t="str">
        <f>IMPRODUCT(COMPLEX(-1,0),IMDIV(COMPLEX(1,C110*Calculations!$B$204*Calculations!$B$206),IMPRODUCT(COMPLEX(0,C110*Calculations!$B$193),COMPLEX((Calculations!$B$206+Calculations!$B$208),C110*Calculations!$B$204*Calculations!$B$206*Calculations!$B$208))))</f>
        <v>-0.173177521583653+0.0667590912062757i</v>
      </c>
      <c r="V110" s="44">
        <f t="shared" si="32"/>
        <v>-14.628456921774355</v>
      </c>
      <c r="W110" s="44">
        <f t="shared" si="33"/>
        <v>158.91859180133392</v>
      </c>
      <c r="X110" s="44">
        <f>Calculations!$B$216/(Calculations!$B$216+Calculations!$B$218)</f>
        <v>0.6875</v>
      </c>
      <c r="Y110" s="44" t="str">
        <f t="shared" si="34"/>
        <v>0.106928870309015+0.467974079263588i</v>
      </c>
      <c r="Z110" s="44">
        <f t="shared" si="35"/>
        <v>-6.374543419430073</v>
      </c>
      <c r="AA110" s="44">
        <f t="shared" si="36"/>
        <v>77.129260996132629</v>
      </c>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row>
    <row r="111" spans="2:70">
      <c r="B111" s="81">
        <v>3593.813663804628</v>
      </c>
      <c r="C111" s="84">
        <f t="shared" ref="C111:C137" si="37">2*PI()*B111</f>
        <v>22580.597209158477</v>
      </c>
      <c r="D111" s="87" t="str">
        <f t="shared" ref="D111:D137" si="38">IMDIV(COMPLEX((V12_Nom/(I_Channel_Design*np)),((Zo_Buck_Cout*Zo_Buck_Resr*V12_Nom)/(I_Channel_Design*np))*C111),COMPLEX(1,((Zo_Buck_Cout*Zo_Buck_Resr)+((Zo_Buck_Cout*V12_Nom)/(I_Channel_Design*np)))*C111))</f>
        <v>0.0128663838796135-0.0541039729212946i</v>
      </c>
      <c r="E111" s="81">
        <f t="shared" si="15"/>
        <v>-25.096504493767849</v>
      </c>
      <c r="F111" s="88">
        <f t="shared" si="22"/>
        <v>-76.623051521894766</v>
      </c>
      <c r="G111" s="6" t="str">
        <f t="shared" ref="G111:G137" si="39">IMDIV(COMPLEX(V48_Max,0),IMSUM(COMPLEX(Rcs/np,(Lm*C111)/np),D111))</f>
        <v>23.2615842948103-338.110968037364i</v>
      </c>
      <c r="H111" s="81">
        <f t="shared" si="23"/>
        <v>50.601692959645575</v>
      </c>
      <c r="I111" s="88">
        <f t="shared" si="24"/>
        <v>-86.064328374173556</v>
      </c>
      <c r="J111" s="28" t="str">
        <f t="shared" ref="J111:J137" si="40">IMDIV(IMPRODUCT(COMPLEX(V48_Max,0),D111),IMSUM(COMPLEX(Rcs/np,(Lm*C111)/np),D111))</f>
        <v>-17.9938541859012-5.60880963546928i</v>
      </c>
      <c r="K111" s="81">
        <f t="shared" si="25"/>
        <v>25.505188465877715</v>
      </c>
      <c r="L111" s="88">
        <f t="shared" si="26"/>
        <v>-162.68737989606831</v>
      </c>
      <c r="M111" s="28">
        <f t="shared" ref="M111:M137" si="41">1/(Kff*V48_Max)</f>
        <v>0.48484848484848486</v>
      </c>
      <c r="N111" s="88">
        <f t="shared" ref="N111:N137" si="42">(Rcs*Acs)/np</f>
        <v>0.02</v>
      </c>
      <c r="O111" s="91" t="str">
        <f t="shared" ref="O111:O137" si="43">IMPRODUCT(COMPLEX(gm/(IL_Comp_Ccomp+IL_Comp_Chf),0),IMDIV(COMPLEX(1,C111*IL_Comp_Rcomp*IL_Comp_Ccomp),IMPRODUCT(COMPLEX(0,C111),COMPLEX(1,C111*IL_Comp_Rcomp*IL_Comp_Chf))))</f>
        <v>1.55078843790728-1.36030302740603i</v>
      </c>
      <c r="P111" s="81">
        <f t="shared" si="20"/>
        <v>6.289372362271636</v>
      </c>
      <c r="Q111" s="88">
        <f t="shared" si="28"/>
        <v>-41.25622436559037</v>
      </c>
      <c r="R111" s="91" t="str">
        <f t="shared" si="29"/>
        <v>0.318488065476193-3.01191191324043i</v>
      </c>
      <c r="S111" s="81">
        <f t="shared" si="30"/>
        <v>9.6251366704819112</v>
      </c>
      <c r="T111" s="88">
        <f t="shared" si="31"/>
        <v>-83.963813850722104</v>
      </c>
      <c r="U111" s="44" t="str">
        <f>IMPRODUCT(COMPLEX(-1,0),IMDIV(COMPLEX(1,C111*Calculations!$B$204*Calculations!$B$206),IMPRODUCT(COMPLEX(0,C111*Calculations!$B$193),COMPLEX((Calculations!$B$206+Calculations!$B$208),C111*Calculations!$B$204*Calculations!$B$206*Calculations!$B$208))))</f>
        <v>-0.167089852208921+0.0713152195815818i</v>
      </c>
      <c r="V111" s="44">
        <f t="shared" si="32"/>
        <v>-14.814218517295464</v>
      </c>
      <c r="W111" s="44">
        <f t="shared" si="33"/>
        <v>156.88684197689162</v>
      </c>
      <c r="X111" s="44">
        <f>Calculations!$B$216/(Calculations!$B$216+Calculations!$B$218)</f>
        <v>0.6875</v>
      </c>
      <c r="Y111" s="44" t="str">
        <f t="shared" si="34"/>
        <v>0.111085587017901+0.361606411906561i</v>
      </c>
      <c r="Z111" s="44">
        <f t="shared" si="35"/>
        <v>-8.4436277967675526</v>
      </c>
      <c r="AA111" s="44">
        <f t="shared" si="36"/>
        <v>72.923028126169484</v>
      </c>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row>
    <row r="112" spans="2:70">
      <c r="B112" s="81">
        <v>4641.5888336127782</v>
      </c>
      <c r="C112" s="84">
        <f t="shared" si="37"/>
        <v>29163.962761324641</v>
      </c>
      <c r="D112" s="87" t="str">
        <f t="shared" si="38"/>
        <v>0.0116808320003586-0.0419410522890379i</v>
      </c>
      <c r="E112" s="81">
        <f t="shared" si="15"/>
        <v>-27.222776539241885</v>
      </c>
      <c r="F112" s="88">
        <f t="shared" si="22"/>
        <v>-74.43716448532102</v>
      </c>
      <c r="G112" s="6" t="str">
        <f t="shared" si="39"/>
        <v>10.3184081381595-236.225036378866i</v>
      </c>
      <c r="H112" s="81">
        <f t="shared" si="23"/>
        <v>47.474796842754813</v>
      </c>
      <c r="I112" s="88">
        <f t="shared" si="24"/>
        <v>-87.498886330159195</v>
      </c>
      <c r="J112" s="28" t="str">
        <f t="shared" si="40"/>
        <v>-9.78699901077292-3.19206985948231i</v>
      </c>
      <c r="K112" s="81">
        <f t="shared" si="25"/>
        <v>20.252020303512918</v>
      </c>
      <c r="L112" s="88">
        <f t="shared" si="26"/>
        <v>-161.93605081548023</v>
      </c>
      <c r="M112" s="28">
        <f t="shared" si="41"/>
        <v>0.48484848484848486</v>
      </c>
      <c r="N112" s="88">
        <f t="shared" si="42"/>
        <v>0.02</v>
      </c>
      <c r="O112" s="91" t="str">
        <f t="shared" si="43"/>
        <v>1.54935351480486-1.08305257992054i</v>
      </c>
      <c r="P112" s="81">
        <f t="shared" si="20"/>
        <v>5.5309368978410403</v>
      </c>
      <c r="Q112" s="88">
        <f t="shared" si="28"/>
        <v>-34.954901807421706</v>
      </c>
      <c r="R112" s="91" t="str">
        <f t="shared" si="29"/>
        <v>0.128437805088052-2.42190494989029i</v>
      </c>
      <c r="S112" s="81">
        <f t="shared" si="30"/>
        <v>7.6953386959358916</v>
      </c>
      <c r="T112" s="88">
        <f t="shared" si="31"/>
        <v>-86.964349446335106</v>
      </c>
      <c r="U112" s="44" t="str">
        <f>IMPRODUCT(COMPLEX(-1,0),IMDIV(COMPLEX(1,C112*Calculations!$B$204*Calculations!$B$206),IMPRODUCT(COMPLEX(0,C112*Calculations!$B$193),COMPLEX((Calculations!$B$206+Calculations!$B$208),C112*Calculations!$B$204*Calculations!$B$206*Calculations!$B$208))))</f>
        <v>-0.157834686241644+0.0783191049157066i</v>
      </c>
      <c r="V112" s="44">
        <f t="shared" si="32"/>
        <v>-15.079989579031805</v>
      </c>
      <c r="W112" s="44">
        <f t="shared" si="33"/>
        <v>153.60894588574737</v>
      </c>
      <c r="X112" s="44">
        <f>Calculations!$B$216/(Calculations!$B$216+Calculations!$B$218)</f>
        <v>0.6875</v>
      </c>
      <c r="Y112" s="44" t="str">
        <f t="shared" si="34"/>
        <v>0.116469022449099+0.269719822490836i</v>
      </c>
      <c r="Z112" s="44">
        <f t="shared" si="35"/>
        <v>-10.639196833049908</v>
      </c>
      <c r="AA112" s="44">
        <f t="shared" si="36"/>
        <v>66.644596439412155</v>
      </c>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row>
    <row r="113" spans="2:70">
      <c r="B113" s="81">
        <v>5994.8425031894185</v>
      </c>
      <c r="C113" s="84">
        <f t="shared" si="37"/>
        <v>37666.706334895447</v>
      </c>
      <c r="D113" s="87" t="str">
        <f t="shared" si="38"/>
        <v>0.0109687460533396-0.0324968307750116i</v>
      </c>
      <c r="E113" s="81">
        <f t="shared" si="15"/>
        <v>-29.294607110479618</v>
      </c>
      <c r="F113" s="88">
        <f t="shared" si="22"/>
        <v>-71.34877449838082</v>
      </c>
      <c r="G113" s="6" t="str">
        <f t="shared" si="39"/>
        <v>5.18695371780744-172.692857672325i</v>
      </c>
      <c r="H113" s="81">
        <f t="shared" si="23"/>
        <v>44.74940371944983</v>
      </c>
      <c r="I113" s="88">
        <f t="shared" si="24"/>
        <v>-88.279597434877033</v>
      </c>
      <c r="J113" s="28" t="str">
        <f t="shared" si="40"/>
        <v>-5.55507619370965-2.06278365823865i</v>
      </c>
      <c r="K113" s="81">
        <f t="shared" si="25"/>
        <v>15.454796608970211</v>
      </c>
      <c r="L113" s="88">
        <f t="shared" si="26"/>
        <v>-159.62837193325791</v>
      </c>
      <c r="M113" s="28">
        <f t="shared" si="41"/>
        <v>0.48484848484848486</v>
      </c>
      <c r="N113" s="88">
        <f t="shared" si="42"/>
        <v>0.02</v>
      </c>
      <c r="O113" s="91" t="str">
        <f t="shared" si="43"/>
        <v>1.54696581890601-0.876986515338013i</v>
      </c>
      <c r="P113" s="81">
        <f t="shared" si="20"/>
        <v>4.9999051448247913</v>
      </c>
      <c r="Q113" s="88">
        <f t="shared" si="28"/>
        <v>-29.549225704416486</v>
      </c>
      <c r="R113" s="91" t="str">
        <f t="shared" si="29"/>
        <v>-0.0247937522040732-1.91802999201025i</v>
      </c>
      <c r="S113" s="81">
        <f t="shared" si="30"/>
        <v>5.6578335188941908</v>
      </c>
      <c r="T113" s="88">
        <f t="shared" si="31"/>
        <v>-90.740602726637988</v>
      </c>
      <c r="U113" s="44" t="str">
        <f>IMPRODUCT(COMPLEX(-1,0),IMDIV(COMPLEX(1,C113*Calculations!$B$204*Calculations!$B$206),IMPRODUCT(COMPLEX(0,C113*Calculations!$B$193),COMPLEX((Calculations!$B$206+Calculations!$B$208),C113*Calculations!$B$204*Calculations!$B$206*Calculations!$B$208))))</f>
        <v>-0.144484773138581+0.0864407681070912i</v>
      </c>
      <c r="V113" s="44">
        <f t="shared" si="32"/>
        <v>-15.474797810950523</v>
      </c>
      <c r="W113" s="44">
        <f t="shared" si="33"/>
        <v>149.10922274266429</v>
      </c>
      <c r="X113" s="44">
        <f>Calculations!$B$216/(Calculations!$B$216+Calculations!$B$218)</f>
        <v>0.6875</v>
      </c>
      <c r="Y113" s="44" t="str">
        <f t="shared" si="34"/>
        <v>0.116447584979181+0.189050769382625i</v>
      </c>
      <c r="Z113" s="44">
        <f t="shared" si="35"/>
        <v>-13.071510242010334</v>
      </c>
      <c r="AA113" s="44">
        <f t="shared" si="36"/>
        <v>58.368620016026355</v>
      </c>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row>
    <row r="114" spans="2:70">
      <c r="B114" s="81">
        <v>7742.6368268112792</v>
      </c>
      <c r="C114" s="84">
        <f t="shared" si="37"/>
        <v>48648.421949048206</v>
      </c>
      <c r="D114" s="87" t="str">
        <f t="shared" si="38"/>
        <v>0.0105413695756707-0.0251719883983894i</v>
      </c>
      <c r="E114" s="81">
        <f t="shared" si="15"/>
        <v>-31.279897957436642</v>
      </c>
      <c r="F114" s="88">
        <f t="shared" si="22"/>
        <v>-67.277341000013749</v>
      </c>
      <c r="G114" s="6" t="str">
        <f t="shared" si="39"/>
        <v>2.80085097971268-129.361107324264i</v>
      </c>
      <c r="H114" s="81">
        <f t="shared" si="23"/>
        <v>42.238109913986833</v>
      </c>
      <c r="I114" s="88">
        <f t="shared" si="24"/>
        <v>-88.759659110650801</v>
      </c>
      <c r="J114" s="28" t="str">
        <f t="shared" si="40"/>
        <v>-3.22675148746564-1.43414622939001i</v>
      </c>
      <c r="K114" s="81">
        <f t="shared" si="25"/>
        <v>10.958211956550166</v>
      </c>
      <c r="L114" s="88">
        <f t="shared" si="26"/>
        <v>-156.03700011066454</v>
      </c>
      <c r="M114" s="28">
        <f t="shared" si="41"/>
        <v>0.48484848484848486</v>
      </c>
      <c r="N114" s="88">
        <f t="shared" si="42"/>
        <v>0.02</v>
      </c>
      <c r="O114" s="91" t="str">
        <f t="shared" si="43"/>
        <v>1.5429992370107-0.728434369309639i</v>
      </c>
      <c r="P114" s="81">
        <f t="shared" si="20"/>
        <v>4.6411131643789547</v>
      </c>
      <c r="Q114" s="88">
        <f t="shared" si="28"/>
        <v>-25.271523202310117</v>
      </c>
      <c r="R114" s="91" t="str">
        <f t="shared" si="29"/>
        <v>-0.131442589584516-1.48499455989534i</v>
      </c>
      <c r="S114" s="81">
        <f t="shared" si="30"/>
        <v>3.4683903338795825</v>
      </c>
      <c r="T114" s="88">
        <f t="shared" si="31"/>
        <v>-95.058287609969796</v>
      </c>
      <c r="U114" s="44" t="str">
        <f>IMPRODUCT(COMPLEX(-1,0),IMDIV(COMPLEX(1,C114*Calculations!$B$204*Calculations!$B$206),IMPRODUCT(COMPLEX(0,C114*Calculations!$B$193),COMPLEX((Calculations!$B$206+Calculations!$B$208),C114*Calculations!$B$204*Calculations!$B$206*Calculations!$B$208))))</f>
        <v>-0.126619891369588+0.0936610469697809i</v>
      </c>
      <c r="V114" s="44">
        <f t="shared" si="32"/>
        <v>-16.054609680492533</v>
      </c>
      <c r="W114" s="44">
        <f t="shared" si="33"/>
        <v>143.50957553722594</v>
      </c>
      <c r="X114" s="44">
        <f>Calculations!$B$216/(Calculations!$B$216+Calculations!$B$218)</f>
        <v>0.6875</v>
      </c>
      <c r="Y114" s="44" t="str">
        <f t="shared" si="34"/>
        <v>0.107063956751644+0.120806674519762i</v>
      </c>
      <c r="Z114" s="44">
        <f t="shared" si="35"/>
        <v>-15.840765296566959</v>
      </c>
      <c r="AA114" s="44">
        <f t="shared" si="36"/>
        <v>48.451287927256203</v>
      </c>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row>
    <row r="115" spans="2:70">
      <c r="B115" s="81">
        <v>10000</v>
      </c>
      <c r="C115" s="84">
        <f t="shared" si="37"/>
        <v>62831.853071795864</v>
      </c>
      <c r="D115" s="87" t="str">
        <f t="shared" si="38"/>
        <v>0.0102849869826928-0.0194948065066787i</v>
      </c>
      <c r="E115" s="81">
        <f t="shared" si="15"/>
        <v>-33.135170673598886</v>
      </c>
      <c r="F115" s="88">
        <f t="shared" si="22"/>
        <v>-62.184958281173898</v>
      </c>
      <c r="G115" s="6" t="str">
        <f t="shared" si="39"/>
        <v>1.57745996917444-98.2393198932042i</v>
      </c>
      <c r="H115" s="81">
        <f t="shared" si="23"/>
        <v>39.846826573579783</v>
      </c>
      <c r="I115" s="88">
        <f t="shared" si="24"/>
        <v>-89.080062525404884</v>
      </c>
      <c r="J115" s="28" t="str">
        <f t="shared" si="40"/>
        <v>-1.89893237741704-1.04114240316129i</v>
      </c>
      <c r="K115" s="81">
        <f t="shared" si="25"/>
        <v>6.7116558999808777</v>
      </c>
      <c r="L115" s="88">
        <f t="shared" si="26"/>
        <v>-151.26502080657855</v>
      </c>
      <c r="M115" s="28">
        <f t="shared" si="41"/>
        <v>0.48484848484848486</v>
      </c>
      <c r="N115" s="88">
        <f t="shared" si="42"/>
        <v>0.02</v>
      </c>
      <c r="O115" s="91" t="str">
        <f t="shared" si="43"/>
        <v>1.53642765329322-0.627388158135513i</v>
      </c>
      <c r="P115" s="81">
        <f t="shared" si="20"/>
        <v>4.399995476763551</v>
      </c>
      <c r="Q115" s="88">
        <f t="shared" si="28"/>
        <v>-22.212263232076765</v>
      </c>
      <c r="R115" s="91" t="str">
        <f t="shared" si="29"/>
        <v>-0.189483069329109-1.12038848589732i</v>
      </c>
      <c r="S115" s="81">
        <f t="shared" si="30"/>
        <v>1.1098483708378799</v>
      </c>
      <c r="T115" s="88">
        <f t="shared" si="31"/>
        <v>-99.599181723703438</v>
      </c>
      <c r="U115" s="44" t="str">
        <f>IMPRODUCT(COMPLEX(-1,0),IMDIV(COMPLEX(1,C115*Calculations!$B$204*Calculations!$B$206),IMPRODUCT(COMPLEX(0,C115*Calculations!$B$193),COMPLEX((Calculations!$B$206+Calculations!$B$208),C115*Calculations!$B$204*Calculations!$B$206*Calculations!$B$208))))</f>
        <v>-0.104969596486714+0.0976026406520505i</v>
      </c>
      <c r="V115" s="44">
        <f t="shared" si="32"/>
        <v>-16.872961448103037</v>
      </c>
      <c r="W115" s="44">
        <f t="shared" si="33"/>
        <v>137.08276093548218</v>
      </c>
      <c r="X115" s="44">
        <f>Calculations!$B$216/(Calculations!$B$216+Calculations!$B$218)</f>
        <v>0.6875</v>
      </c>
      <c r="Y115" s="44" t="str">
        <f t="shared" si="34"/>
        <v>0.088854449824437+0.0681399670514926i</v>
      </c>
      <c r="Z115" s="44">
        <f t="shared" si="35"/>
        <v>-19.017659027219139</v>
      </c>
      <c r="AA115" s="44">
        <f t="shared" si="36"/>
        <v>37.483579211778689</v>
      </c>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row>
    <row r="116" spans="2:70">
      <c r="B116" s="81">
        <v>12915.496650148847</v>
      </c>
      <c r="C116" s="84">
        <f t="shared" si="37"/>
        <v>81150.458787142401</v>
      </c>
      <c r="D116" s="87" t="str">
        <f t="shared" si="38"/>
        <v>0.0101312259465813-0.0150964656850079i</v>
      </c>
      <c r="E116" s="81">
        <f t="shared" si="15"/>
        <v>-34.807693876431514</v>
      </c>
      <c r="F116" s="88">
        <f t="shared" si="22"/>
        <v>-56.134470001244736</v>
      </c>
      <c r="G116" s="6" t="str">
        <f t="shared" si="39"/>
        <v>0.910985188847726-75.1976181891061i</v>
      </c>
      <c r="H116" s="81">
        <f t="shared" si="23"/>
        <v>37.52471903287843</v>
      </c>
      <c r="I116" s="88">
        <f t="shared" si="24"/>
        <v>-89.305921456652214</v>
      </c>
      <c r="J116" s="28" t="str">
        <f t="shared" si="40"/>
        <v>-1.12598886580396-0.775596717161576i</v>
      </c>
      <c r="K116" s="81">
        <f t="shared" si="25"/>
        <v>2.7170251564469181</v>
      </c>
      <c r="L116" s="88">
        <f t="shared" si="26"/>
        <v>-145.44039145789694</v>
      </c>
      <c r="M116" s="28">
        <f t="shared" si="41"/>
        <v>0.48484848484848486</v>
      </c>
      <c r="N116" s="88">
        <f t="shared" si="42"/>
        <v>0.02</v>
      </c>
      <c r="O116" s="91" t="str">
        <f t="shared" si="43"/>
        <v>1.52558927803437-0.566708722740236i</v>
      </c>
      <c r="P116" s="81">
        <f t="shared" si="20"/>
        <v>4.2301332839271604</v>
      </c>
      <c r="Q116" s="88">
        <f t="shared" si="28"/>
        <v>-20.37845752220575</v>
      </c>
      <c r="R116" s="91" t="str">
        <f t="shared" si="29"/>
        <v>-0.206645134315697-0.825043041862961i</v>
      </c>
      <c r="S116" s="81">
        <f t="shared" si="30"/>
        <v>-1.406225567197861</v>
      </c>
      <c r="T116" s="88">
        <f t="shared" si="31"/>
        <v>-104.06136367927654</v>
      </c>
      <c r="U116" s="44" t="str">
        <f>IMPRODUCT(COMPLEX(-1,0),IMDIV(COMPLEX(1,C116*Calculations!$B$204*Calculations!$B$206),IMPRODUCT(COMPLEX(0,C116*Calculations!$B$193),COMPLEX((Calculations!$B$206+Calculations!$B$208),C116*Calculations!$B$204*Calculations!$B$206*Calculations!$B$208))))</f>
        <v>-0.081674246564743+0.0964677690629409i</v>
      </c>
      <c r="V116" s="44">
        <f t="shared" si="32"/>
        <v>-17.965125657075973</v>
      </c>
      <c r="W116" s="44">
        <f t="shared" si="33"/>
        <v>130.25285486995787</v>
      </c>
      <c r="X116" s="44">
        <f>Calculations!$B$216/(Calculations!$B$216+Calculations!$B$218)</f>
        <v>0.6875</v>
      </c>
      <c r="Y116" s="44" t="str">
        <f t="shared" si="34"/>
        <v>0.0663215075056374+0.0326219944410896i</v>
      </c>
      <c r="Z116" s="44">
        <f t="shared" si="35"/>
        <v>-22.625897174227827</v>
      </c>
      <c r="AA116" s="44">
        <f t="shared" si="36"/>
        <v>26.191491190681301</v>
      </c>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row>
    <row r="117" spans="2:70">
      <c r="B117" s="81">
        <v>16681.005372000593</v>
      </c>
      <c r="C117" s="84">
        <f t="shared" si="37"/>
        <v>104809.84786233788</v>
      </c>
      <c r="D117" s="87" t="str">
        <f t="shared" si="38"/>
        <v>0.0100390257194648-0.0116897338426057i</v>
      </c>
      <c r="E117" s="81">
        <f t="shared" si="15"/>
        <v>-36.244609052231056</v>
      </c>
      <c r="F117" s="88">
        <f t="shared" si="22"/>
        <v>-49.344347863066105</v>
      </c>
      <c r="G117" s="6" t="str">
        <f t="shared" si="39"/>
        <v>0.534034957363275-57.8279851180864i</v>
      </c>
      <c r="H117" s="81">
        <f t="shared" si="23"/>
        <v>35.243131575918717</v>
      </c>
      <c r="I117" s="88">
        <f t="shared" si="24"/>
        <v>-89.470894942621229</v>
      </c>
      <c r="J117" s="28" t="str">
        <f t="shared" si="40"/>
        <v>-0.67063256401253-0.586779356419521i</v>
      </c>
      <c r="K117" s="81">
        <f t="shared" si="25"/>
        <v>-1.00147747631234</v>
      </c>
      <c r="L117" s="88">
        <f t="shared" si="26"/>
        <v>-138.81524280568732</v>
      </c>
      <c r="M117" s="28">
        <f t="shared" si="41"/>
        <v>0.48484848484848486</v>
      </c>
      <c r="N117" s="88">
        <f t="shared" si="42"/>
        <v>0.02</v>
      </c>
      <c r="O117" s="91" t="str">
        <f t="shared" si="43"/>
        <v>1.50784610414284-0.541381489702324i</v>
      </c>
      <c r="P117" s="81">
        <f t="shared" si="20"/>
        <v>4.0937406004775401</v>
      </c>
      <c r="Q117" s="88">
        <f t="shared" si="28"/>
        <v>-19.750317091903632</v>
      </c>
      <c r="R117" s="91" t="str">
        <f t="shared" si="29"/>
        <v>-0.196733987272592-0.59617942739418i</v>
      </c>
      <c r="S117" s="81">
        <f t="shared" si="30"/>
        <v>-4.04355910210601</v>
      </c>
      <c r="T117" s="88">
        <f t="shared" si="31"/>
        <v>-108.26243721327829</v>
      </c>
      <c r="U117" s="44" t="str">
        <f>IMPRODUCT(COMPLEX(-1,0),IMDIV(COMPLEX(1,C117*Calculations!$B$204*Calculations!$B$206),IMPRODUCT(COMPLEX(0,C117*Calculations!$B$193),COMPLEX((Calculations!$B$206+Calculations!$B$208),C117*Calculations!$B$204*Calculations!$B$206*Calculations!$B$208))))</f>
        <v>-0.0596078510527841+0.090018139909527i</v>
      </c>
      <c r="V117" s="44">
        <f t="shared" si="32"/>
        <v>-19.334369951917655</v>
      </c>
      <c r="W117" s="44">
        <f t="shared" si="33"/>
        <v>123.51156963808792</v>
      </c>
      <c r="X117" s="44">
        <f>Calculations!$B$216/(Calculations!$B$216+Calculations!$B$218)</f>
        <v>0.6875</v>
      </c>
      <c r="Y117" s="44" t="str">
        <f t="shared" si="34"/>
        <v>0.0449582741552422+0.0122563010058384i</v>
      </c>
      <c r="Z117" s="44">
        <f t="shared" si="35"/>
        <v>-26.632475003977664</v>
      </c>
      <c r="AA117" s="44">
        <f t="shared" si="36"/>
        <v>15.249132424809659</v>
      </c>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row>
    <row r="118" spans="2:70">
      <c r="B118" s="81">
        <v>21544.346900318837</v>
      </c>
      <c r="C118" s="84">
        <f t="shared" si="37"/>
        <v>135367.12389686337</v>
      </c>
      <c r="D118" s="87" t="str">
        <f t="shared" si="38"/>
        <v>0.00998374490034257-0.00905144179160962i</v>
      </c>
      <c r="E118" s="81">
        <f t="shared" si="15"/>
        <v>-37.408751621332549</v>
      </c>
      <c r="F118" s="88">
        <f t="shared" si="22"/>
        <v>-42.196014793648537</v>
      </c>
      <c r="G118" s="6" t="str">
        <f t="shared" si="39"/>
        <v>0.315880512310632-44.5927510909368i</v>
      </c>
      <c r="H118" s="81">
        <f t="shared" si="23"/>
        <v>32.985503244740705</v>
      </c>
      <c r="I118" s="88">
        <f t="shared" si="24"/>
        <v>-89.594142163647305</v>
      </c>
      <c r="J118" s="28" t="str">
        <f t="shared" si="40"/>
        <v>-0.400475020373452-0.44806182536667i</v>
      </c>
      <c r="K118" s="81">
        <f t="shared" si="25"/>
        <v>-4.4232483765918333</v>
      </c>
      <c r="L118" s="88">
        <f t="shared" si="26"/>
        <v>-131.79015695729581</v>
      </c>
      <c r="M118" s="28">
        <f t="shared" si="41"/>
        <v>0.48484848484848486</v>
      </c>
      <c r="N118" s="88">
        <f t="shared" si="42"/>
        <v>0.02</v>
      </c>
      <c r="O118" s="91" t="str">
        <f t="shared" si="43"/>
        <v>1.47914966415463-0.547650649937063i</v>
      </c>
      <c r="P118" s="81">
        <f t="shared" si="20"/>
        <v>3.9581632993232976</v>
      </c>
      <c r="Q118" s="88">
        <f t="shared" si="28"/>
        <v>-20.316918063355025</v>
      </c>
      <c r="R118" s="91" t="str">
        <f t="shared" si="29"/>
        <v>-0.173846837297302-0.425261899876574i</v>
      </c>
      <c r="S118" s="81">
        <f t="shared" si="30"/>
        <v>-6.7557265381100606</v>
      </c>
      <c r="T118" s="88">
        <f t="shared" si="31"/>
        <v>-112.23471764308721</v>
      </c>
      <c r="U118" s="44" t="str">
        <f>IMPRODUCT(COMPLEX(-1,0),IMDIV(COMPLEX(1,C118*Calculations!$B$204*Calculations!$B$206),IMPRODUCT(COMPLEX(0,C118*Calculations!$B$193),COMPLEX((Calculations!$B$206+Calculations!$B$208),C118*Calculations!$B$204*Calculations!$B$206*Calculations!$B$208))))</f>
        <v>-0.0410895873783841+0.079656530131885i</v>
      </c>
      <c r="V118" s="44">
        <f t="shared" si="32"/>
        <v>-20.950942838407158</v>
      </c>
      <c r="W118" s="44">
        <f t="shared" si="33"/>
        <v>117.28624552484825</v>
      </c>
      <c r="X118" s="44">
        <f>Calculations!$B$216/(Calculations!$B$216+Calculations!$B$218)</f>
        <v>0.6875</v>
      </c>
      <c r="Y118" s="44" t="str">
        <f t="shared" si="34"/>
        <v>0.0282000002302179+0.00249273761011734i</v>
      </c>
      <c r="Z118" s="44">
        <f t="shared" si="35"/>
        <v>-30.961215326471212</v>
      </c>
      <c r="AA118" s="44">
        <f t="shared" si="36"/>
        <v>5.0515278817610589</v>
      </c>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row>
    <row r="119" spans="2:70">
      <c r="B119" s="81">
        <v>27825.594022071291</v>
      </c>
      <c r="C119" s="84">
        <f t="shared" si="37"/>
        <v>174833.36352302248</v>
      </c>
      <c r="D119" s="87" t="str">
        <f t="shared" si="38"/>
        <v>0.00995060195985613-0.00700843726992315i</v>
      </c>
      <c r="E119" s="81">
        <f t="shared" si="15"/>
        <v>-38.293491423722983</v>
      </c>
      <c r="F119" s="88">
        <f t="shared" si="22"/>
        <v>-35.157915341164028</v>
      </c>
      <c r="G119" s="6" t="str">
        <f t="shared" si="39"/>
        <v>0.187849237394591-34.4428891162855i</v>
      </c>
      <c r="H119" s="81">
        <f t="shared" si="23"/>
        <v>30.742120651086257</v>
      </c>
      <c r="I119" s="88">
        <f t="shared" si="24"/>
        <v>-89.687515709359275</v>
      </c>
      <c r="J119" s="28" t="str">
        <f t="shared" si="40"/>
        <v>-0.23952161477663-0.344044009540101i</v>
      </c>
      <c r="K119" s="81">
        <f t="shared" si="25"/>
        <v>-7.5513707726367176</v>
      </c>
      <c r="L119" s="88">
        <f t="shared" si="26"/>
        <v>-124.8454310505233</v>
      </c>
      <c r="M119" s="28">
        <f t="shared" si="41"/>
        <v>0.48484848484848486</v>
      </c>
      <c r="N119" s="88">
        <f t="shared" si="42"/>
        <v>0.02</v>
      </c>
      <c r="O119" s="91" t="str">
        <f t="shared" si="43"/>
        <v>1.43363698282237-0.581795914488042i</v>
      </c>
      <c r="P119" s="81">
        <f t="shared" si="20"/>
        <v>3.7908813199184106</v>
      </c>
      <c r="Q119" s="88">
        <f t="shared" si="28"/>
        <v>-22.088207292839151</v>
      </c>
      <c r="R119" s="91" t="str">
        <f t="shared" si="29"/>
        <v>-0.147890335256354-0.300074186858913i</v>
      </c>
      <c r="S119" s="81">
        <f t="shared" si="30"/>
        <v>-9.51107553101237</v>
      </c>
      <c r="T119" s="88">
        <f t="shared" si="31"/>
        <v>-116.23619431233671</v>
      </c>
      <c r="U119" s="44" t="str">
        <f>IMPRODUCT(COMPLEX(-1,0),IMDIV(COMPLEX(1,C119*Calculations!$B$204*Calculations!$B$206),IMPRODUCT(COMPLEX(0,C119*Calculations!$B$193),COMPLEX((Calculations!$B$206+Calculations!$B$208),C119*Calculations!$B$204*Calculations!$B$206*Calculations!$B$208))))</f>
        <v>-0.0270642138362714+0.0675150938631869i</v>
      </c>
      <c r="V119" s="44">
        <f t="shared" si="32"/>
        <v>-22.764819738346098</v>
      </c>
      <c r="W119" s="44">
        <f t="shared" si="33"/>
        <v>111.84395763757952</v>
      </c>
      <c r="X119" s="44">
        <f>Calculations!$B$216/(Calculations!$B$216+Calculations!$B$218)</f>
        <v>0.6875</v>
      </c>
      <c r="Y119" s="44" t="str">
        <f t="shared" si="34"/>
        <v>0.0166801748777089-0.00128119606064727i</v>
      </c>
      <c r="Z119" s="44">
        <f t="shared" si="35"/>
        <v>-35.530441219312486</v>
      </c>
      <c r="AA119" s="44">
        <f t="shared" si="36"/>
        <v>-4.3922366747571848</v>
      </c>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row>
    <row r="120" spans="2:70">
      <c r="B120" s="81">
        <v>35938.136638046322</v>
      </c>
      <c r="C120" s="84">
        <f t="shared" si="37"/>
        <v>225805.97209158502</v>
      </c>
      <c r="D120" s="87" t="str">
        <f t="shared" si="38"/>
        <v>0.00993073222511197-0.00542648735481476i</v>
      </c>
      <c r="E120" s="81">
        <f t="shared" si="15"/>
        <v>-38.925654511724225</v>
      </c>
      <c r="F120" s="88">
        <f t="shared" si="22"/>
        <v>-28.653681941847264</v>
      </c>
      <c r="G120" s="6" t="str">
        <f t="shared" si="39"/>
        <v>0.112071323017871-26.6291910100173i</v>
      </c>
      <c r="H120" s="81">
        <f t="shared" si="23"/>
        <v>28.507236379561004</v>
      </c>
      <c r="I120" s="88">
        <f t="shared" si="24"/>
        <v>-89.758867030544167</v>
      </c>
      <c r="J120" s="28" t="str">
        <f t="shared" si="40"/>
        <v>-0.143390017985801-0.265055518909035i</v>
      </c>
      <c r="K120" s="81">
        <f t="shared" si="25"/>
        <v>-10.418418132163216</v>
      </c>
      <c r="L120" s="88">
        <f t="shared" si="26"/>
        <v>-118.41254897239135</v>
      </c>
      <c r="M120" s="28">
        <f t="shared" si="41"/>
        <v>0.48484848484848486</v>
      </c>
      <c r="N120" s="88">
        <f t="shared" si="42"/>
        <v>0.02</v>
      </c>
      <c r="O120" s="91" t="str">
        <f t="shared" si="43"/>
        <v>1.36364568173906-0.638319286386966i</v>
      </c>
      <c r="P120" s="81">
        <f t="shared" si="20"/>
        <v>3.5544789109899182</v>
      </c>
      <c r="Q120" s="88">
        <f t="shared" si="28"/>
        <v>-25.08418171663293</v>
      </c>
      <c r="R120" s="91" t="str">
        <f t="shared" si="29"/>
        <v>-0.123446496546591-0.208474705978457i</v>
      </c>
      <c r="S120" s="81">
        <f t="shared" si="30"/>
        <v>-12.313564198518236</v>
      </c>
      <c r="T120" s="88">
        <f t="shared" si="31"/>
        <v>-120.63152991719171</v>
      </c>
      <c r="U120" s="44" t="str">
        <f>IMPRODUCT(COMPLEX(-1,0),IMDIV(COMPLEX(1,C120*Calculations!$B$204*Calculations!$B$206),IMPRODUCT(COMPLEX(0,C120*Calculations!$B$193),COMPLEX((Calculations!$B$206+Calculations!$B$208),C120*Calculations!$B$204*Calculations!$B$206*Calculations!$B$208))))</f>
        <v>-0.0172451244765885+0.0554400682806649i</v>
      </c>
      <c r="V120" s="44">
        <f t="shared" si="32"/>
        <v>-24.722418286200821</v>
      </c>
      <c r="W120" s="44">
        <f t="shared" si="33"/>
        <v>107.27876879551745</v>
      </c>
      <c r="X120" s="44">
        <f>Calculations!$B$216/(Calculations!$B$216+Calculations!$B$218)</f>
        <v>0.6875</v>
      </c>
      <c r="Y120" s="44" t="str">
        <f t="shared" si="34"/>
        <v>0.00940960771670006-0.00223348808562907i</v>
      </c>
      <c r="Z120" s="44">
        <f t="shared" si="35"/>
        <v>-40.29052843467305</v>
      </c>
      <c r="AA120" s="44">
        <f t="shared" si="36"/>
        <v>-13.352761121674304</v>
      </c>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row>
    <row r="121" spans="2:70">
      <c r="B121" s="81">
        <v>46415.888336127755</v>
      </c>
      <c r="C121" s="84">
        <f t="shared" si="37"/>
        <v>291639.62761324627</v>
      </c>
      <c r="D121" s="87" t="str">
        <f t="shared" si="38"/>
        <v>0.0099188202496992-0.00420158263391232i</v>
      </c>
      <c r="E121" s="81">
        <f t="shared" si="15"/>
        <v>-39.354061585939377</v>
      </c>
      <c r="F121" s="88">
        <f t="shared" si="22"/>
        <v>-22.957370637643749</v>
      </c>
      <c r="G121" s="6" t="str">
        <f t="shared" si="39"/>
        <v>0.0669912049309113-20.6000983246145i</v>
      </c>
      <c r="H121" s="81">
        <f t="shared" si="23"/>
        <v>26.277431793534575</v>
      </c>
      <c r="I121" s="88">
        <f t="shared" si="24"/>
        <v>-89.813675657462056</v>
      </c>
      <c r="J121" s="28" t="str">
        <f t="shared" si="40"/>
        <v>-0.0858885416575659-0.204610141491243i</v>
      </c>
      <c r="K121" s="81">
        <f t="shared" si="25"/>
        <v>-13.076629792404821</v>
      </c>
      <c r="L121" s="88">
        <f t="shared" si="26"/>
        <v>-112.77104629510579</v>
      </c>
      <c r="M121" s="28">
        <f t="shared" si="41"/>
        <v>0.48484848484848486</v>
      </c>
      <c r="N121" s="88">
        <f t="shared" si="42"/>
        <v>0.02</v>
      </c>
      <c r="O121" s="91" t="str">
        <f t="shared" si="43"/>
        <v>1.26095595236022-0.707628480669437i</v>
      </c>
      <c r="P121" s="81">
        <f t="shared" si="20"/>
        <v>3.2030168595135922</v>
      </c>
      <c r="Q121" s="88">
        <f t="shared" si="28"/>
        <v>-29.300449301611852</v>
      </c>
      <c r="R121" s="91" t="str">
        <f t="shared" si="29"/>
        <v>-0.101369104155103-0.141024396725105i</v>
      </c>
      <c r="S121" s="81">
        <f t="shared" si="30"/>
        <v>-15.205171761987843</v>
      </c>
      <c r="T121" s="88">
        <f t="shared" si="31"/>
        <v>-125.70878598170265</v>
      </c>
      <c r="U121" s="44" t="str">
        <f>IMPRODUCT(COMPLEX(-1,0),IMDIV(COMPLEX(1,C121*Calculations!$B$204*Calculations!$B$206),IMPRODUCT(COMPLEX(0,C121*Calculations!$B$193),COMPLEX((Calculations!$B$206+Calculations!$B$208),C121*Calculations!$B$204*Calculations!$B$206*Calculations!$B$208))))</f>
        <v>-0.0107432955172906+0.0445481881291898i</v>
      </c>
      <c r="V121" s="44">
        <f t="shared" si="32"/>
        <v>-26.777890884371011</v>
      </c>
      <c r="W121" s="44">
        <f t="shared" si="33"/>
        <v>103.55862624968729</v>
      </c>
      <c r="X121" s="44">
        <f>Calculations!$B$216/(Calculations!$B$216+Calculations!$B$218)</f>
        <v>0.6875</v>
      </c>
      <c r="Y121" s="44" t="str">
        <f t="shared" si="34"/>
        <v>0.00506785097388402-0.00206301091784118i</v>
      </c>
      <c r="Z121" s="44">
        <f t="shared" si="35"/>
        <v>-45.237608596312846</v>
      </c>
      <c r="AA121" s="44">
        <f t="shared" si="36"/>
        <v>-22.150159732015375</v>
      </c>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row>
    <row r="122" spans="2:70">
      <c r="B122" s="81">
        <v>59948.425031894149</v>
      </c>
      <c r="C122" s="84">
        <f t="shared" si="37"/>
        <v>376667.06334895425</v>
      </c>
      <c r="D122" s="87" t="str">
        <f t="shared" si="38"/>
        <v>0.00991167907062495-0.00325315630716079i</v>
      </c>
      <c r="E122" s="81">
        <f t="shared" si="15"/>
        <v>-39.632736868751188</v>
      </c>
      <c r="F122" s="88">
        <f t="shared" si="22"/>
        <v>-18.170583414387426</v>
      </c>
      <c r="G122" s="6" t="str">
        <f t="shared" si="39"/>
        <v>0.0400906910962761-15.9416026273029i</v>
      </c>
      <c r="H122" s="81">
        <f t="shared" si="23"/>
        <v>24.050667054058017</v>
      </c>
      <c r="I122" s="88">
        <f t="shared" si="24"/>
        <v>-89.855910186145195</v>
      </c>
      <c r="J122" s="28" t="str">
        <f t="shared" si="40"/>
        <v>-0.0514631590693956-0.158138470397856i</v>
      </c>
      <c r="K122" s="81">
        <f t="shared" si="25"/>
        <v>-15.582069814693174</v>
      </c>
      <c r="L122" s="88">
        <f t="shared" si="26"/>
        <v>-108.02649360053265</v>
      </c>
      <c r="M122" s="28">
        <f t="shared" si="41"/>
        <v>0.48484848484848486</v>
      </c>
      <c r="N122" s="88">
        <f t="shared" si="42"/>
        <v>0.02</v>
      </c>
      <c r="O122" s="91" t="str">
        <f t="shared" si="43"/>
        <v>1.12023555793564-0.774311381324057i</v>
      </c>
      <c r="P122" s="81">
        <f t="shared" si="20"/>
        <v>2.6822351704062131</v>
      </c>
      <c r="Q122" s="88">
        <f t="shared" si="28"/>
        <v>-34.652386158801129</v>
      </c>
      <c r="R122" s="91" t="str">
        <f t="shared" si="29"/>
        <v>-0.0811107548278115-0.0915618888338304i</v>
      </c>
      <c r="S122" s="81">
        <f t="shared" si="30"/>
        <v>-18.249948486866273</v>
      </c>
      <c r="T122" s="88">
        <f t="shared" si="31"/>
        <v>-131.53635778125107</v>
      </c>
      <c r="U122" s="44" t="str">
        <f>IMPRODUCT(COMPLEX(-1,0),IMDIV(COMPLEX(1,C122*Calculations!$B$204*Calculations!$B$206),IMPRODUCT(COMPLEX(0,C122*Calculations!$B$193),COMPLEX((Calculations!$B$206+Calculations!$B$208),C122*Calculations!$B$204*Calculations!$B$206*Calculations!$B$208))))</f>
        <v>-0.00659537208502111+0.03529370566806i</v>
      </c>
      <c r="V122" s="44">
        <f t="shared" si="32"/>
        <v>-28.896983686821486</v>
      </c>
      <c r="W122" s="44">
        <f t="shared" si="33"/>
        <v>100.58483939353039</v>
      </c>
      <c r="X122" s="44">
        <f>Calculations!$B$216/(Calculations!$B$216+Calculations!$B$218)</f>
        <v>0.6875</v>
      </c>
      <c r="Y122" s="44" t="str">
        <f t="shared" si="34"/>
        <v>0.00258947834963069-0.00155293488744659i</v>
      </c>
      <c r="Z122" s="44">
        <f t="shared" si="35"/>
        <v>-50.401478123641752</v>
      </c>
      <c r="AA122" s="44">
        <f t="shared" si="36"/>
        <v>-30.951518387720544</v>
      </c>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row>
    <row r="123" spans="2:70">
      <c r="B123" s="81">
        <v>77426.368268112885</v>
      </c>
      <c r="C123" s="84">
        <f t="shared" si="37"/>
        <v>486484.21949048265</v>
      </c>
      <c r="D123" s="87" t="str">
        <f t="shared" si="38"/>
        <v>0.00990739799685242-0.00251881167384092i</v>
      </c>
      <c r="E123" s="81">
        <f t="shared" si="15"/>
        <v>-39.808797725923299</v>
      </c>
      <c r="F123" s="88">
        <f t="shared" si="22"/>
        <v>-14.264412754258107</v>
      </c>
      <c r="G123" s="6" t="str">
        <f t="shared" si="39"/>
        <v>0.0240088026237807-12.3391520190883i</v>
      </c>
      <c r="H123" s="81">
        <f t="shared" si="23"/>
        <v>21.82572273788438</v>
      </c>
      <c r="I123" s="88">
        <f t="shared" si="24"/>
        <v>-89.888517353266181</v>
      </c>
      <c r="J123" s="28" t="str">
        <f t="shared" si="40"/>
        <v>-0.0308421353879558-0.122309363649097i</v>
      </c>
      <c r="K123" s="81">
        <f t="shared" si="25"/>
        <v>-17.983074988038894</v>
      </c>
      <c r="L123" s="88">
        <f t="shared" si="26"/>
        <v>-104.15293010752428</v>
      </c>
      <c r="M123" s="28">
        <f t="shared" si="41"/>
        <v>0.48484848484848486</v>
      </c>
      <c r="N123" s="88">
        <f t="shared" si="42"/>
        <v>0.02</v>
      </c>
      <c r="O123" s="91" t="str">
        <f t="shared" si="43"/>
        <v>0.944424360932254-0.818546252427631i</v>
      </c>
      <c r="P123" s="81">
        <f t="shared" si="20"/>
        <v>1.9366861245791838</v>
      </c>
      <c r="Q123" s="88">
        <f t="shared" si="28"/>
        <v>-40.915947049412125</v>
      </c>
      <c r="R123" s="91" t="str">
        <f t="shared" si="29"/>
        <v>-0.0623835616731985-0.0563316293844007i</v>
      </c>
      <c r="S123" s="81">
        <f t="shared" si="30"/>
        <v>-21.508902166857339</v>
      </c>
      <c r="T123" s="88">
        <f t="shared" si="31"/>
        <v>-137.91833136521117</v>
      </c>
      <c r="U123" s="44" t="str">
        <f>IMPRODUCT(COMPLEX(-1,0),IMDIV(COMPLEX(1,C123*Calculations!$B$204*Calculations!$B$206),IMPRODUCT(COMPLEX(0,C123*Calculations!$B$193),COMPLEX((Calculations!$B$206+Calculations!$B$208),C123*Calculations!$B$204*Calculations!$B$206*Calculations!$B$208))))</f>
        <v>-0.0040116765272043+0.0277132600373026i</v>
      </c>
      <c r="V123" s="44">
        <f t="shared" si="32"/>
        <v>-31.056183934565993</v>
      </c>
      <c r="W123" s="44">
        <f t="shared" si="33"/>
        <v>98.236726576074076</v>
      </c>
      <c r="X123" s="44">
        <f>Calculations!$B$216/(Calculations!$B$216+Calculations!$B$218)</f>
        <v>0.6875</v>
      </c>
      <c r="Y123" s="44" t="str">
        <f t="shared" si="34"/>
        <v>0.00124533458740805-0.00103322146906129i</v>
      </c>
      <c r="Z123" s="44">
        <f t="shared" si="35"/>
        <v>-55.819632051377361</v>
      </c>
      <c r="AA123" s="44">
        <f t="shared" si="36"/>
        <v>-39.681604789137097</v>
      </c>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row>
    <row r="124" spans="2:70">
      <c r="B124" s="81">
        <v>100000</v>
      </c>
      <c r="C124" s="84">
        <f t="shared" si="37"/>
        <v>628318.53071795858</v>
      </c>
      <c r="D124" s="87" t="str">
        <f t="shared" si="38"/>
        <v>0.00990483154280166-0.00195022945781393i</v>
      </c>
      <c r="E124" s="81">
        <f t="shared" si="15"/>
        <v>-39.917871069955446</v>
      </c>
      <c r="F124" s="88">
        <f t="shared" si="22"/>
        <v>-11.138868116847213</v>
      </c>
      <c r="G124" s="6" t="str">
        <f t="shared" si="39"/>
        <v>0.0143839452919241-9.55197022523369i</v>
      </c>
      <c r="H124" s="81">
        <f t="shared" si="23"/>
        <v>19.601869048804453</v>
      </c>
      <c r="I124" s="88">
        <f t="shared" si="24"/>
        <v>-89.913720550253259</v>
      </c>
      <c r="J124" s="28" t="str">
        <f t="shared" si="40"/>
        <v>-0.0184860631583749-0.0946387079766249i</v>
      </c>
      <c r="K124" s="81">
        <f t="shared" si="25"/>
        <v>-20.316002021150986</v>
      </c>
      <c r="L124" s="88">
        <f t="shared" si="26"/>
        <v>-101.05258866710045</v>
      </c>
      <c r="M124" s="28">
        <f t="shared" si="41"/>
        <v>0.48484848484848486</v>
      </c>
      <c r="N124" s="88">
        <f t="shared" si="42"/>
        <v>0.02</v>
      </c>
      <c r="O124" s="91" t="str">
        <f t="shared" si="43"/>
        <v>0.748477557783269-0.822776104359854i</v>
      </c>
      <c r="P124" s="81">
        <f t="shared" si="20"/>
        <v>0.92432600158166167</v>
      </c>
      <c r="Q124" s="88">
        <f t="shared" si="28"/>
        <v>-47.707280589888974</v>
      </c>
      <c r="R124" s="91" t="str">
        <f t="shared" si="29"/>
        <v>-0.0456724024103911-0.0326242144063878i</v>
      </c>
      <c r="S124" s="81">
        <f t="shared" si="30"/>
        <v>-25.016470242506202</v>
      </c>
      <c r="T124" s="88">
        <f t="shared" si="31"/>
        <v>-144.46143353479738</v>
      </c>
      <c r="U124" s="44" t="str">
        <f>IMPRODUCT(COMPLEX(-1,0),IMDIV(COMPLEX(1,C124*Calculations!$B$204*Calculations!$B$206),IMPRODUCT(COMPLEX(0,C124*Calculations!$B$193),COMPLEX((Calculations!$B$206+Calculations!$B$208),C124*Calculations!$B$204*Calculations!$B$206*Calculations!$B$208))))</f>
        <v>-0.00242621978118115+0.0216410637117114i</v>
      </c>
      <c r="V124" s="44">
        <f t="shared" si="32"/>
        <v>-33.240181364374926</v>
      </c>
      <c r="W124" s="44">
        <f t="shared" si="33"/>
        <v>96.396824618362757</v>
      </c>
      <c r="X124" s="44">
        <f>Calculations!$B$216/(Calculations!$B$216+Calculations!$B$218)</f>
        <v>0.6875</v>
      </c>
      <c r="Y124" s="44" t="str">
        <f t="shared" si="34"/>
        <v>0.000561573367228038-0.000625106526063196i</v>
      </c>
      <c r="Z124" s="44">
        <f t="shared" si="35"/>
        <v>-61.511197556835128</v>
      </c>
      <c r="AA124" s="44">
        <f t="shared" si="36"/>
        <v>-48.064608916434608</v>
      </c>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row>
    <row r="125" spans="2:70">
      <c r="B125" s="81">
        <v>129154.96650148838</v>
      </c>
      <c r="C125" s="84">
        <f t="shared" si="37"/>
        <v>811504.58787142346</v>
      </c>
      <c r="D125" s="87" t="str">
        <f t="shared" si="38"/>
        <v>0.00990329298764011-0.00150999418852714i</v>
      </c>
      <c r="E125" s="81">
        <f t="shared" si="15"/>
        <v>-39.984597104801104</v>
      </c>
      <c r="F125" s="88">
        <f t="shared" si="22"/>
        <v>-8.6693427512763925</v>
      </c>
      <c r="G125" s="6" t="str">
        <f t="shared" si="39"/>
        <v>0.00861973246831361-7.39491440184709i</v>
      </c>
      <c r="H125" s="81">
        <f t="shared" si="23"/>
        <v>17.378668926420239</v>
      </c>
      <c r="I125" s="88">
        <f t="shared" si="24"/>
        <v>-89.933214363215811</v>
      </c>
      <c r="J125" s="28" t="str">
        <f t="shared" si="40"/>
        <v>-0.011080914035336-0.0732470196859449i</v>
      </c>
      <c r="K125" s="81">
        <f t="shared" si="25"/>
        <v>-22.605928178380871</v>
      </c>
      <c r="L125" s="88">
        <f t="shared" si="26"/>
        <v>-98.602557114492228</v>
      </c>
      <c r="M125" s="28">
        <f t="shared" si="41"/>
        <v>0.48484848484848486</v>
      </c>
      <c r="N125" s="88">
        <f t="shared" si="42"/>
        <v>0.02</v>
      </c>
      <c r="O125" s="91" t="str">
        <f t="shared" si="43"/>
        <v>0.556036898556863-0.780767213189281i</v>
      </c>
      <c r="P125" s="81">
        <f t="shared" si="20"/>
        <v>-0.36791079284962941</v>
      </c>
      <c r="Q125" s="88">
        <f t="shared" si="28"/>
        <v>-54.542772495358257</v>
      </c>
      <c r="R125" s="91" t="str">
        <f t="shared" si="29"/>
        <v>-0.0317815525690136-0.0178182623071675i</v>
      </c>
      <c r="S125" s="81">
        <f t="shared" si="30"/>
        <v>-28.769466413000117</v>
      </c>
      <c r="T125" s="88">
        <f t="shared" si="31"/>
        <v>-150.72291957844953</v>
      </c>
      <c r="U125" s="44" t="str">
        <f>IMPRODUCT(COMPLEX(-1,0),IMDIV(COMPLEX(1,C125*Calculations!$B$204*Calculations!$B$206),IMPRODUCT(COMPLEX(0,C125*Calculations!$B$193),COMPLEX((Calculations!$B$206+Calculations!$B$208),C125*Calculations!$B$204*Calculations!$B$206*Calculations!$B$208))))</f>
        <v>-0.00146223806282502+0.0168423657167223i</v>
      </c>
      <c r="V125" s="44">
        <f t="shared" si="32"/>
        <v>-35.439325739375882</v>
      </c>
      <c r="W125" s="44">
        <f t="shared" si="33"/>
        <v>94.961922762312795</v>
      </c>
      <c r="X125" s="44">
        <f>Calculations!$B$216/(Calculations!$B$216+Calculations!$B$218)</f>
        <v>0.6875</v>
      </c>
      <c r="Y125" s="44" t="str">
        <f t="shared" si="34"/>
        <v>0.000238269546677174-0.000350090118161864i</v>
      </c>
      <c r="Z125" s="44">
        <f t="shared" si="35"/>
        <v>-67.463338102329999</v>
      </c>
      <c r="AA125" s="44">
        <f t="shared" si="36"/>
        <v>-55.760996816136675</v>
      </c>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2:70">
      <c r="B126" s="81">
        <v>166810.05372000611</v>
      </c>
      <c r="C126" s="84">
        <f t="shared" si="37"/>
        <v>1048098.4786233798</v>
      </c>
      <c r="D126" s="87" t="str">
        <f t="shared" si="38"/>
        <v>0.00990237064576002-0.001169134750363i</v>
      </c>
      <c r="E126" s="81">
        <f t="shared" si="15"/>
        <v>-40.025095526294827</v>
      </c>
      <c r="F126" s="88">
        <f t="shared" si="22"/>
        <v>-6.7335198414843749</v>
      </c>
      <c r="G126" s="6" t="str">
        <f t="shared" si="39"/>
        <v>0.00516623836605701-5.72522882405112i</v>
      </c>
      <c r="H126" s="81">
        <f t="shared" si="23"/>
        <v>15.155860518224484</v>
      </c>
      <c r="I126" s="88">
        <f t="shared" si="24"/>
        <v>-89.948298385428913</v>
      </c>
      <c r="J126" s="28" t="str">
        <f t="shared" si="40"/>
        <v>-0.00664240596483302-0.0566993778763454i</v>
      </c>
      <c r="K126" s="81">
        <f t="shared" si="25"/>
        <v>-24.869235008070341</v>
      </c>
      <c r="L126" s="88">
        <f t="shared" si="26"/>
        <v>-96.681818226913293</v>
      </c>
      <c r="M126" s="28">
        <f t="shared" si="41"/>
        <v>0.48484848484848486</v>
      </c>
      <c r="N126" s="88">
        <f t="shared" si="42"/>
        <v>0.02</v>
      </c>
      <c r="O126" s="91" t="str">
        <f t="shared" si="43"/>
        <v>0.389140569249583-0.70102712773421i</v>
      </c>
      <c r="P126" s="81">
        <f t="shared" si="20"/>
        <v>-1.9187723465334061</v>
      </c>
      <c r="Q126" s="88">
        <f t="shared" si="28"/>
        <v>-60.965319519126815</v>
      </c>
      <c r="R126" s="91" t="str">
        <f t="shared" si="29"/>
        <v>-0.0211472019310167-0.00925774176304846i</v>
      </c>
      <c r="S126" s="81">
        <f t="shared" si="30"/>
        <v>-32.733461855580444</v>
      </c>
      <c r="T126" s="88">
        <f t="shared" si="31"/>
        <v>-156.35734077571263</v>
      </c>
      <c r="U126" s="44" t="str">
        <f>IMPRODUCT(COMPLEX(-1,0),IMDIV(COMPLEX(1,C126*Calculations!$B$204*Calculations!$B$206),IMPRODUCT(COMPLEX(0,C126*Calculations!$B$193),COMPLEX((Calculations!$B$206+Calculations!$B$208),C126*Calculations!$B$204*Calculations!$B$206*Calculations!$B$208))))</f>
        <v>-0.000879400455286119+0.0130809142392824i</v>
      </c>
      <c r="V126" s="44">
        <f t="shared" si="32"/>
        <v>-37.647654009448992</v>
      </c>
      <c r="W126" s="44">
        <f t="shared" si="33"/>
        <v>93.846079200032591</v>
      </c>
      <c r="X126" s="44">
        <f>Calculations!$B$216/(Calculations!$B$216+Calculations!$B$218)</f>
        <v>0.6875</v>
      </c>
      <c r="Y126" s="44" t="str">
        <f t="shared" si="34"/>
        <v>0.0000960414022273915-0.000184582387370611i</v>
      </c>
      <c r="Z126" s="44">
        <f t="shared" si="35"/>
        <v>-73.635661814983408</v>
      </c>
      <c r="AA126" s="44">
        <f t="shared" si="36"/>
        <v>-62.511261575679981</v>
      </c>
      <c r="AB126" s="44"/>
      <c r="AC126" s="44"/>
      <c r="AD126" s="44"/>
      <c r="AE126" s="44"/>
      <c r="AF126" s="44"/>
      <c r="AJ126" t="s">
        <v>573</v>
      </c>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row>
    <row r="127" spans="2:70">
      <c r="B127" s="81">
        <v>215443.46900318863</v>
      </c>
      <c r="C127" s="84">
        <f t="shared" si="37"/>
        <v>1353671.2389686354</v>
      </c>
      <c r="D127" s="87" t="str">
        <f t="shared" si="38"/>
        <v>0.00990181771550561-0.000905219082895207i</v>
      </c>
      <c r="E127" s="81">
        <f t="shared" si="15"/>
        <v>-40.049556033992182</v>
      </c>
      <c r="F127" s="88">
        <f t="shared" si="22"/>
        <v>-5.2234313365718341</v>
      </c>
      <c r="G127" s="6" t="str">
        <f t="shared" si="39"/>
        <v>0.00309666334713226-4.43265814782622i</v>
      </c>
      <c r="H127" s="81">
        <f t="shared" si="23"/>
        <v>12.933286904628119</v>
      </c>
      <c r="I127" s="88">
        <f t="shared" si="24"/>
        <v>-89.959973066818463</v>
      </c>
      <c r="J127" s="28" t="str">
        <f t="shared" si="40"/>
        <v>-0.00398186414737363-0.043894176133681i</v>
      </c>
      <c r="K127" s="81">
        <f t="shared" si="25"/>
        <v>-27.116269129364081</v>
      </c>
      <c r="L127" s="88">
        <f t="shared" si="26"/>
        <v>-95.183404403390298</v>
      </c>
      <c r="M127" s="28">
        <f t="shared" si="41"/>
        <v>0.48484848484848486</v>
      </c>
      <c r="N127" s="88">
        <f t="shared" si="42"/>
        <v>0.02</v>
      </c>
      <c r="O127" s="91" t="str">
        <f t="shared" si="43"/>
        <v>0.259308466336923-0.600907787365763i</v>
      </c>
      <c r="P127" s="81">
        <f t="shared" si="20"/>
        <v>-3.6822044254349757</v>
      </c>
      <c r="Q127" s="88">
        <f t="shared" si="28"/>
        <v>-66.658455389016197</v>
      </c>
      <c r="R127" s="91" t="str">
        <f t="shared" si="29"/>
        <v>-0.0135883369286446-0.00462974192627357i</v>
      </c>
      <c r="S127" s="81">
        <f t="shared" si="30"/>
        <v>-36.859696108738817</v>
      </c>
      <c r="T127" s="88">
        <f t="shared" si="31"/>
        <v>-161.1852846242252</v>
      </c>
      <c r="U127" s="44" t="str">
        <f>IMPRODUCT(COMPLEX(-1,0),IMDIV(COMPLEX(1,C127*Calculations!$B$204*Calculations!$B$206),IMPRODUCT(COMPLEX(0,C127*Calculations!$B$193),COMPLEX((Calculations!$B$206+Calculations!$B$208),C127*Calculations!$B$204*Calculations!$B$206*Calculations!$B$208))))</f>
        <v>-0.00052820241350417+0.0101469635634069i</v>
      </c>
      <c r="V127" s="44">
        <f t="shared" si="32"/>
        <v>-39.86152562154286</v>
      </c>
      <c r="W127" s="44">
        <f t="shared" si="33"/>
        <v>92.979854759875053</v>
      </c>
      <c r="X127" s="44">
        <f>Calculations!$B$216/(Calculations!$B$216+Calculations!$B$218)</f>
        <v>0.6875</v>
      </c>
      <c r="Y127" s="44" t="str">
        <f t="shared" si="34"/>
        <v>0.0000372317103091265-0.0000931115067044896i</v>
      </c>
      <c r="Z127" s="44">
        <f t="shared" si="35"/>
        <v>-79.975767680235663</v>
      </c>
      <c r="AA127" s="44">
        <f t="shared" si="36"/>
        <v>-68.205429864350151</v>
      </c>
      <c r="AB127" s="44"/>
      <c r="AC127" s="44"/>
      <c r="AD127" s="44"/>
      <c r="AE127" s="44"/>
      <c r="AF127" t="s">
        <v>574</v>
      </c>
      <c r="AG127">
        <f t="array" ref="AG127">INDEX($Z$79:$Z$133,(MATCH(TRUE,$Z$79:$Z$133&lt;0,)-1))</f>
        <v>2.1799891905639974</v>
      </c>
      <c r="AH127">
        <f t="array" ref="AH127">INDEX($Z$79:$Z$133,(MATCH(TRUE,$Z$79:$Z$133&lt;0,)-0))</f>
        <v>-8.7735491933635182E-2</v>
      </c>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row>
    <row r="128" spans="2:70">
      <c r="B128" s="81">
        <v>278255.94022071268</v>
      </c>
      <c r="C128" s="84">
        <f t="shared" si="37"/>
        <v>1748333.6352302232</v>
      </c>
      <c r="D128" s="87" t="str">
        <f t="shared" si="38"/>
        <v>0.0099014862422305-0.00070087849540151i</v>
      </c>
      <c r="E128" s="81">
        <f t="shared" si="15"/>
        <v>-40.064286060391865</v>
      </c>
      <c r="F128" s="88">
        <f t="shared" si="22"/>
        <v>-4.0489386740195297</v>
      </c>
      <c r="G128" s="6" t="str">
        <f t="shared" si="39"/>
        <v>0.00185625171095455-3.4319633253016i</v>
      </c>
      <c r="H128" s="81">
        <f t="shared" si="23"/>
        <v>10.710854035238315</v>
      </c>
      <c r="I128" s="88">
        <f t="shared" si="24"/>
        <v>-89.969010339476426</v>
      </c>
      <c r="J128" s="28" t="str">
        <f t="shared" si="40"/>
        <v>-0.00238700964093242-0.0339828386562197i</v>
      </c>
      <c r="K128" s="81">
        <f t="shared" si="25"/>
        <v>-29.353432025153548</v>
      </c>
      <c r="L128" s="88">
        <f t="shared" si="26"/>
        <v>-94.017949013495951</v>
      </c>
      <c r="M128" s="28">
        <f t="shared" si="41"/>
        <v>0.48484848484848486</v>
      </c>
      <c r="N128" s="88">
        <f t="shared" si="42"/>
        <v>0.02</v>
      </c>
      <c r="O128" s="91" t="str">
        <f t="shared" si="43"/>
        <v>0.166592675518634-0.497401045132627i</v>
      </c>
      <c r="P128" s="81">
        <f t="shared" si="20"/>
        <v>-5.6041324836390851</v>
      </c>
      <c r="Q128" s="88">
        <f t="shared" si="28"/>
        <v>-71.482948901787708</v>
      </c>
      <c r="R128" s="91" t="str">
        <f t="shared" si="29"/>
        <v>-0.00851668456118247-0.00225380289063474i</v>
      </c>
      <c r="S128" s="81">
        <f t="shared" si="30"/>
        <v>-41.100624887424487</v>
      </c>
      <c r="T128" s="88">
        <f t="shared" si="31"/>
        <v>-165.17737784091884</v>
      </c>
      <c r="U128" s="44" t="str">
        <f>IMPRODUCT(COMPLEX(-1,0),IMDIV(COMPLEX(1,C128*Calculations!$B$204*Calculations!$B$206),IMPRODUCT(COMPLEX(0,C128*Calculations!$B$193),COMPLEX((Calculations!$B$206+Calculations!$B$208),C128*Calculations!$B$204*Calculations!$B$206*Calculations!$B$208))))</f>
        <v>-0.000317015174386389+0.00786521886687454i</v>
      </c>
      <c r="V128" s="44">
        <f t="shared" si="32"/>
        <v>-42.078734059790065</v>
      </c>
      <c r="W128" s="44">
        <f t="shared" si="33"/>
        <v>92.308111876645157</v>
      </c>
      <c r="X128" s="44">
        <f>Calculations!$B$216/(Calculations!$B$216+Calculations!$B$218)</f>
        <v>0.6875</v>
      </c>
      <c r="Y128" s="44" t="str">
        <f t="shared" si="34"/>
        <v>0.0000140432677405583-0.0000455613801344792i</v>
      </c>
      <c r="Z128" s="44">
        <f t="shared" si="35"/>
        <v>-86.43390489716856</v>
      </c>
      <c r="AA128" s="44">
        <f t="shared" si="36"/>
        <v>-72.869265964273623</v>
      </c>
      <c r="AB128" s="44"/>
      <c r="AC128" s="44"/>
      <c r="AD128" s="44"/>
      <c r="AE128" s="44"/>
      <c r="AF128" t="s">
        <v>575</v>
      </c>
      <c r="AG128">
        <f t="array" ref="AG128">INDEX($B$79:$B$133,(MATCH(TRUE,$Z$79:$Z$133&lt;0,)-1))</f>
        <v>1000</v>
      </c>
      <c r="AH128">
        <f t="array" ref="AH128">INDEX($B$79:$B$133,(MATCH(TRUE,$Z$79:$Z$133&lt;0,)-0))</f>
        <v>1291.5496650148843</v>
      </c>
      <c r="AJ128">
        <f>(AG127*AH128-AG128*AH127)/(AG127-AH127)/1000</f>
        <v>1.2802699653755989</v>
      </c>
      <c r="AK128" s="236" t="str">
        <f>"Crossover Frequency = "&amp;ROUND(AJ128,1)&amp;" kHz"</f>
        <v>Crossover Frequency = 1.3 kHz</v>
      </c>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row>
    <row r="129" spans="1:70">
      <c r="B129" s="81">
        <v>359381.36638046295</v>
      </c>
      <c r="C129" s="84">
        <f t="shared" si="37"/>
        <v>2258059.7209158484</v>
      </c>
      <c r="D129" s="87" t="str">
        <f t="shared" si="38"/>
        <v>0.00990128752911622-0.000542664873874586i</v>
      </c>
      <c r="E129" s="81">
        <f t="shared" si="15"/>
        <v>-40.073140496155276</v>
      </c>
      <c r="F129" s="88">
        <f t="shared" si="22"/>
        <v>-3.1371001419419153</v>
      </c>
      <c r="G129" s="6" t="str">
        <f t="shared" si="39"/>
        <v>0.00111274005121738-2.65720608744201i</v>
      </c>
      <c r="H129" s="81">
        <f t="shared" si="23"/>
        <v>8.4885055356664214</v>
      </c>
      <c r="I129" s="88">
        <f t="shared" si="24"/>
        <v>-89.976006639001596</v>
      </c>
      <c r="J129" s="28" t="str">
        <f t="shared" si="40"/>
        <v>-0.00143095484710824-0.0263103653408209i</v>
      </c>
      <c r="K129" s="81">
        <f t="shared" si="25"/>
        <v>-31.584634960488831</v>
      </c>
      <c r="L129" s="88">
        <f t="shared" si="26"/>
        <v>-93.113106780943511</v>
      </c>
      <c r="M129" s="28">
        <f t="shared" si="41"/>
        <v>0.48484848484848486</v>
      </c>
      <c r="N129" s="88">
        <f t="shared" si="42"/>
        <v>0.02</v>
      </c>
      <c r="O129" s="91" t="str">
        <f t="shared" si="43"/>
        <v>0.104353282621362-0.401824545728221i</v>
      </c>
      <c r="P129" s="81">
        <f t="shared" si="20"/>
        <v>-7.6358222839353971</v>
      </c>
      <c r="Q129" s="88">
        <f t="shared" si="28"/>
        <v>-75.441959051440151</v>
      </c>
      <c r="R129" s="91" t="str">
        <f t="shared" si="29"/>
        <v>-0.00524973723812268-0.00107769807432751i</v>
      </c>
      <c r="S129" s="81">
        <f t="shared" si="30"/>
        <v>-45.417978087907201</v>
      </c>
      <c r="T129" s="88">
        <f t="shared" si="31"/>
        <v>-168.39914354036094</v>
      </c>
      <c r="U129" s="44" t="str">
        <f>IMPRODUCT(COMPLEX(-1,0),IMDIV(COMPLEX(1,C129*Calculations!$B$204*Calculations!$B$206),IMPRODUCT(COMPLEX(0,C129*Calculations!$B$193),COMPLEX((Calculations!$B$206+Calculations!$B$208),C129*Calculations!$B$204*Calculations!$B$206*Calculations!$B$208))))</f>
        <v>-0.000190177433928767+0.00609384245572363i</v>
      </c>
      <c r="V129" s="44">
        <f t="shared" si="32"/>
        <v>-44.297947814369465</v>
      </c>
      <c r="W129" s="44">
        <f t="shared" si="33"/>
        <v>91.787514031132815</v>
      </c>
      <c r="X129" s="44">
        <f>Calculations!$B$216/(Calculations!$B$216+Calculations!$B$218)</f>
        <v>0.6875</v>
      </c>
      <c r="Y129" s="44" t="str">
        <f t="shared" si="34"/>
        <v>5.20142138761785E-06-0.0000218529559935085i</v>
      </c>
      <c r="Z129" s="44">
        <f t="shared" si="35"/>
        <v>-92.970471852230702</v>
      </c>
      <c r="AA129" s="44">
        <f t="shared" si="36"/>
        <v>-76.611629509228067</v>
      </c>
      <c r="AB129" s="44"/>
      <c r="AC129" s="44"/>
      <c r="AD129" s="44"/>
      <c r="AE129" s="44"/>
      <c r="AF129" t="s">
        <v>576</v>
      </c>
      <c r="AG129">
        <f t="array" ref="AG129">INDEX($AA$79:$AA$133,(MATCH(TRUE,$Z$79:$Z$133&lt;0,)-1))</f>
        <v>78.641932596422166</v>
      </c>
      <c r="AH129">
        <f t="array" ref="AH129">INDEX($AA$79:$AA$133,(MATCH(TRUE,$Z$79:$Z$133&lt;0,)-0))</f>
        <v>79.870497176078842</v>
      </c>
      <c r="AJ129">
        <f>(AG127*AH129-AG129*AH127)/(AG127-AH127)</f>
        <v>79.822965516437648</v>
      </c>
      <c r="AK129" t="str">
        <f>"Phase Margin = "&amp;ROUND(AJ129,0)&amp;"°"</f>
        <v>Phase Margin = 80°</v>
      </c>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0">
      <c r="B130" s="81">
        <v>464158.88336127804</v>
      </c>
      <c r="C130" s="84">
        <f t="shared" si="37"/>
        <v>2916396.2761324653</v>
      </c>
      <c r="D130" s="87" t="str">
        <f t="shared" si="38"/>
        <v>0.00990116840369567-0.000420165754260783i</v>
      </c>
      <c r="E130" s="81">
        <f t="shared" si="15"/>
        <v>-40.078457260566296</v>
      </c>
      <c r="F130" s="88">
        <f t="shared" si="22"/>
        <v>-2.4299444546523525</v>
      </c>
      <c r="G130" s="6" t="str">
        <f t="shared" si="39"/>
        <v>0.000667050868236261-2.05736031249452i</v>
      </c>
      <c r="H130" s="81">
        <f t="shared" si="23"/>
        <v>6.2662076129918827</v>
      </c>
      <c r="I130" s="88">
        <f t="shared" si="24"/>
        <v>-89.981423186838427</v>
      </c>
      <c r="J130" s="28" t="str">
        <f t="shared" si="40"/>
        <v>-0.000857827764505222-0.0203705511930194i</v>
      </c>
      <c r="K130" s="81">
        <f t="shared" si="25"/>
        <v>-33.812249647574404</v>
      </c>
      <c r="L130" s="88">
        <f t="shared" si="26"/>
        <v>-92.411367641490784</v>
      </c>
      <c r="M130" s="28">
        <f t="shared" si="41"/>
        <v>0.48484848484848486</v>
      </c>
      <c r="N130" s="88">
        <f t="shared" si="42"/>
        <v>0.02</v>
      </c>
      <c r="O130" s="91" t="str">
        <f t="shared" si="43"/>
        <v>0.0642883767336254-0.319444099676245i</v>
      </c>
      <c r="P130" s="81">
        <f t="shared" si="20"/>
        <v>-9.7396738919599599</v>
      </c>
      <c r="Q130" s="88">
        <f t="shared" si="28"/>
        <v>-78.62117560631215</v>
      </c>
      <c r="R130" s="91" t="str">
        <f t="shared" si="29"/>
        <v>-0.00320151741619693-0.000509449753721681i</v>
      </c>
      <c r="S130" s="81">
        <f t="shared" si="30"/>
        <v>-49.78428160151644</v>
      </c>
      <c r="T130" s="88">
        <f t="shared" si="31"/>
        <v>-170.95846737552955</v>
      </c>
      <c r="U130" s="44" t="str">
        <f>IMPRODUCT(COMPLEX(-1,0),IMDIV(COMPLEX(1,C130*Calculations!$B$204*Calculations!$B$206),IMPRODUCT(COMPLEX(0,C130*Calculations!$B$193),COMPLEX((Calculations!$B$206+Calculations!$B$208),C130*Calculations!$B$204*Calculations!$B$206*Calculations!$B$208))))</f>
        <v>-0.000114055806157804+0.00472014101457122i</v>
      </c>
      <c r="V130" s="44">
        <f t="shared" si="32"/>
        <v>-46.518365505910864</v>
      </c>
      <c r="W130" s="44">
        <f t="shared" si="33"/>
        <v>91.384205445214278</v>
      </c>
      <c r="X130" s="44">
        <f>Calculations!$B$216/(Calculations!$B$216+Calculations!$B$218)</f>
        <v>0.6875</v>
      </c>
      <c r="Y130" s="44" t="str">
        <f t="shared" si="34"/>
        <v>1.90425559997578E-06-0.0000103492867243546i</v>
      </c>
      <c r="Z130" s="44">
        <f t="shared" si="35"/>
        <v>-99.557193057381298</v>
      </c>
      <c r="AA130" s="44">
        <f t="shared" si="36"/>
        <v>-79.574261930315288</v>
      </c>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row>
    <row r="131" spans="1:70">
      <c r="B131" s="81">
        <v>599484.25031894213</v>
      </c>
      <c r="C131" s="84">
        <f t="shared" si="37"/>
        <v>3766670.6334895464</v>
      </c>
      <c r="D131" s="87" t="str">
        <f t="shared" si="38"/>
        <v>0.00990109698986851-0.000325319107695055i</v>
      </c>
      <c r="E131" s="81">
        <f t="shared" si="15"/>
        <v>-40.081647701111663</v>
      </c>
      <c r="F131" s="88">
        <f t="shared" si="22"/>
        <v>-1.8818832583282918</v>
      </c>
      <c r="G131" s="6" t="str">
        <f t="shared" si="39"/>
        <v>0.000399879565569906-1.59293108312395i</v>
      </c>
      <c r="H131" s="81">
        <f t="shared" si="23"/>
        <v>4.0439400098390124</v>
      </c>
      <c r="I131" s="88">
        <f t="shared" si="24"/>
        <v>-89.985616822232842</v>
      </c>
      <c r="J131" s="28" t="str">
        <f t="shared" si="40"/>
        <v>-0.000514251672218626-0.01577189524065i</v>
      </c>
      <c r="K131" s="81">
        <f t="shared" si="25"/>
        <v>-36.037707691272644</v>
      </c>
      <c r="L131" s="88">
        <f t="shared" si="26"/>
        <v>-91.867500080561115</v>
      </c>
      <c r="M131" s="28">
        <f t="shared" si="41"/>
        <v>0.48484848484848486</v>
      </c>
      <c r="N131" s="88">
        <f t="shared" si="42"/>
        <v>0.02</v>
      </c>
      <c r="O131" s="91" t="str">
        <f t="shared" si="43"/>
        <v>0.0391896525115539-0.251372371750085i</v>
      </c>
      <c r="P131" s="81">
        <f t="shared" si="20"/>
        <v>-11.889353342400854</v>
      </c>
      <c r="Q131" s="88">
        <f t="shared" si="28"/>
        <v>-81.138761784616221</v>
      </c>
      <c r="R131" s="91" t="str">
        <f t="shared" si="29"/>
        <v>-0.001939395804032-0.000239111048453257i</v>
      </c>
      <c r="S131" s="81">
        <f t="shared" si="30"/>
        <v>-54.181151462697947</v>
      </c>
      <c r="T131" s="88">
        <f t="shared" si="31"/>
        <v>-172.97138678063044</v>
      </c>
      <c r="U131" s="44" t="str">
        <f>IMPRODUCT(COMPLEX(-1,0),IMDIV(COMPLEX(1,C131*Calculations!$B$204*Calculations!$B$206),IMPRODUCT(COMPLEX(0,C131*Calculations!$B$193),COMPLEX((Calculations!$B$206+Calculations!$B$208),C131*Calculations!$B$204*Calculations!$B$206*Calculations!$B$208))))</f>
        <v>-0.0000683917161630229+0.00365551630611609i</v>
      </c>
      <c r="V131" s="44">
        <f t="shared" si="32"/>
        <v>-48.739505580088142</v>
      </c>
      <c r="W131" s="44">
        <f t="shared" si="33"/>
        <v>91.071832061205228</v>
      </c>
      <c r="X131" s="44">
        <f>Calculations!$B$216/(Calculations!$B$216+Calculations!$B$218)</f>
        <v>0.6875</v>
      </c>
      <c r="Y131" s="44" t="str">
        <f t="shared" si="34"/>
        <v>6.92115148965976E-07-0.0000048627835923527i</v>
      </c>
      <c r="Z131" s="44">
        <f t="shared" si="35"/>
        <v>-106.17520299274008</v>
      </c>
      <c r="AA131" s="44">
        <f t="shared" si="36"/>
        <v>-81.899554719425183</v>
      </c>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0">
      <c r="B132" s="81">
        <v>774263.68268112827</v>
      </c>
      <c r="C132" s="84">
        <f t="shared" si="37"/>
        <v>4864842.1949048229</v>
      </c>
      <c r="D132" s="87" t="str">
        <f t="shared" si="38"/>
        <v>0.0099010541783989-0.000251882781261818i</v>
      </c>
      <c r="E132" s="81">
        <f t="shared" si="15"/>
        <v>-40.083561444481902</v>
      </c>
      <c r="F132" s="88">
        <f t="shared" si="22"/>
        <v>-1.4572900878801802</v>
      </c>
      <c r="G132" s="6" t="str">
        <f t="shared" si="39"/>
        <v>0.000239719013226113-1.23334483928049i</v>
      </c>
      <c r="H132" s="81">
        <f t="shared" si="23"/>
        <v>1.8216905825708469</v>
      </c>
      <c r="I132" s="88">
        <f t="shared" si="24"/>
        <v>-89.988863708578094</v>
      </c>
      <c r="J132" s="28" t="str">
        <f t="shared" si="40"/>
        <v>-0.000308284857435335-0.0122114744554565i</v>
      </c>
      <c r="K132" s="81">
        <f t="shared" si="25"/>
        <v>-38.26187086191112</v>
      </c>
      <c r="L132" s="88">
        <f t="shared" si="26"/>
        <v>-91.446153796458276</v>
      </c>
      <c r="M132" s="28">
        <f t="shared" si="41"/>
        <v>0.48484848484848486</v>
      </c>
      <c r="N132" s="88">
        <f t="shared" si="42"/>
        <v>0.02</v>
      </c>
      <c r="O132" s="91" t="str">
        <f t="shared" si="43"/>
        <v>0.0237334611371229-0.196554026039101i</v>
      </c>
      <c r="P132" s="81">
        <f t="shared" si="20"/>
        <v>-14.067498044184347</v>
      </c>
      <c r="Q132" s="88">
        <f t="shared" si="28"/>
        <v>-83.114994230015498</v>
      </c>
      <c r="R132" s="91" t="str">
        <f t="shared" si="29"/>
        <v>-0.00117000635932313-0.000111735130328058i</v>
      </c>
      <c r="S132" s="81">
        <f t="shared" si="30"/>
        <v>-58.59680667732264</v>
      </c>
      <c r="T132" s="88">
        <f t="shared" si="31"/>
        <v>-174.54482033235203</v>
      </c>
      <c r="U132" s="44" t="str">
        <f>IMPRODUCT(COMPLEX(-1,0),IMDIV(COMPLEX(1,C132*Calculations!$B$204*Calculations!$B$206),IMPRODUCT(COMPLEX(0,C132*Calculations!$B$193),COMPLEX((Calculations!$B$206+Calculations!$B$208),C132*Calculations!$B$204*Calculations!$B$206*Calculations!$B$208))))</f>
        <v>-0.0000410058890034185+0.00283074332017841i</v>
      </c>
      <c r="V132" s="44">
        <f t="shared" si="32"/>
        <v>-50.961078942037219</v>
      </c>
      <c r="W132" s="44">
        <f t="shared" si="33"/>
        <v>90.829923377582631</v>
      </c>
      <c r="X132" s="44">
        <f>Calculations!$B$216/(Calculations!$B$216+Calculations!$B$218)</f>
        <v>0.6875</v>
      </c>
      <c r="Y132" s="44" t="str">
        <f t="shared" si="34"/>
        <v>2.50436054487515E-07-2.27384154790939E-06i</v>
      </c>
      <c r="Z132" s="44">
        <f t="shared" si="35"/>
        <v>-112.81243156931383</v>
      </c>
      <c r="AA132" s="44">
        <f t="shared" si="36"/>
        <v>-83.714896954769387</v>
      </c>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row>
    <row r="133" spans="1:70" ht="15.75" thickBot="1">
      <c r="B133" s="103">
        <v>1000000</v>
      </c>
      <c r="C133" s="104">
        <f t="shared" si="37"/>
        <v>6283185.307179586</v>
      </c>
      <c r="D133" s="105" t="str">
        <f t="shared" si="38"/>
        <v>0.00990102851359536-0.000195023694879038i</v>
      </c>
      <c r="E133" s="103">
        <f t="shared" si="15"/>
        <v>-40.084709108008141</v>
      </c>
      <c r="F133" s="106">
        <f t="shared" si="22"/>
        <v>-1.128427195818136</v>
      </c>
      <c r="G133" s="107" t="str">
        <f t="shared" si="39"/>
        <v>0.000143706878669269-0.954932331482426i</v>
      </c>
      <c r="H133" s="103">
        <f t="shared" si="23"/>
        <v>-0.40054794860945381</v>
      </c>
      <c r="I133" s="106">
        <f t="shared" si="24"/>
        <v>-89.991377611479749</v>
      </c>
      <c r="J133" s="108" t="str">
        <f t="shared" si="40"/>
        <v>-0.000184811585741853-0.00945484026880806i</v>
      </c>
      <c r="K133" s="103">
        <f t="shared" si="25"/>
        <v>-40.485257056617591</v>
      </c>
      <c r="L133" s="106">
        <f t="shared" si="26"/>
        <v>-91.119804807297882</v>
      </c>
      <c r="M133" s="28">
        <f t="shared" si="41"/>
        <v>0.48484848484848486</v>
      </c>
      <c r="N133" s="106">
        <f t="shared" si="42"/>
        <v>0.02</v>
      </c>
      <c r="O133" s="109" t="str">
        <f t="shared" si="43"/>
        <v>0.0143154617627854-0.153093081110147i</v>
      </c>
      <c r="P133" s="103">
        <f t="shared" si="20"/>
        <v>-16.263079996543549</v>
      </c>
      <c r="Q133" s="106">
        <f t="shared" si="28"/>
        <v>-84.657907450966107</v>
      </c>
      <c r="R133" s="109" t="str">
        <f t="shared" si="29"/>
        <v>-0.000704077883566958-0.0000520737420025318i</v>
      </c>
      <c r="S133" s="103">
        <f t="shared" si="30"/>
        <v>-63.023894296968379</v>
      </c>
      <c r="T133" s="106">
        <f t="shared" si="31"/>
        <v>-175.77009408047815</v>
      </c>
      <c r="U133" s="44" t="str">
        <f>IMPRODUCT(COMPLEX(-1,0),IMDIV(COMPLEX(1,C133*Calculations!$B$204*Calculations!$B$206),IMPRODUCT(COMPLEX(0,C133*Calculations!$B$193),COMPLEX((Calculations!$B$206+Calculations!$B$208),C133*Calculations!$B$204*Calculations!$B$206*Calculations!$B$208))))</f>
        <v>-0.0000245845889936074+0.00219193200697433i</v>
      </c>
      <c r="V133" s="44">
        <f t="shared" si="32"/>
        <v>-53.182912136167118</v>
      </c>
      <c r="W133" s="44">
        <f t="shared" si="33"/>
        <v>90.64259937104589</v>
      </c>
      <c r="X133" s="44">
        <f>Calculations!$B$216/(Calculations!$B$216+Calculations!$B$218)</f>
        <v>0.6875</v>
      </c>
      <c r="Y133" s="44" t="str">
        <f t="shared" si="34"/>
        <v>9.03729524536135E-08-1.06013231283346E-06i</v>
      </c>
      <c r="Z133" s="44">
        <f t="shared" si="35"/>
        <v>-119.46135238308949</v>
      </c>
      <c r="AA133" s="44">
        <f t="shared" si="36"/>
        <v>-85.12749470943227</v>
      </c>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0">
      <c r="A134" s="79" t="s">
        <v>337</v>
      </c>
      <c r="B134" s="113">
        <f>Calculations!B198</f>
        <v>1500</v>
      </c>
      <c r="C134" s="114">
        <f t="shared" si="37"/>
        <v>9424.7779607693792</v>
      </c>
      <c r="D134" s="115" t="str">
        <f t="shared" si="38"/>
        <v>0.0266847231594021-0.127811829617193i</v>
      </c>
      <c r="E134" s="114">
        <f t="shared" si="15"/>
        <v>-17.683281366158866</v>
      </c>
      <c r="F134" s="114">
        <f>IMARGUMENT(D134)*(180/PI())</f>
        <v>-78.207112950674741</v>
      </c>
      <c r="G134" s="114" t="str">
        <f t="shared" si="39"/>
        <v>1357.47388095995+1205.39874985647i</v>
      </c>
      <c r="H134" s="114">
        <f t="shared" si="23"/>
        <v>65.179505030167732</v>
      </c>
      <c r="I134" s="114">
        <f>IMARGUMENT(G134)*(180/PI())</f>
        <v>41.604178355847282</v>
      </c>
      <c r="J134" s="115" t="str">
        <f t="shared" si="40"/>
        <v>190.288034346969-141.335488446434i</v>
      </c>
      <c r="K134" s="114">
        <f t="shared" si="25"/>
        <v>47.496223664008895</v>
      </c>
      <c r="L134" s="114">
        <f>IMARGUMENT(J134)*(180/PI())</f>
        <v>-36.602934594827403</v>
      </c>
      <c r="M134" s="28">
        <f t="shared" si="41"/>
        <v>0.48484848484848486</v>
      </c>
      <c r="N134" s="114">
        <f t="shared" si="42"/>
        <v>0.02</v>
      </c>
      <c r="O134" s="114" t="str">
        <f t="shared" si="43"/>
        <v>1.55256571953083-3.14482892750515i</v>
      </c>
      <c r="P134" s="114">
        <f t="shared" si="20"/>
        <v>10.89919562850474</v>
      </c>
      <c r="Q134" s="114">
        <f>IMARGUMENT(O134)*(180/PI())</f>
        <v>-63.724978697291114</v>
      </c>
      <c r="R134" s="114" t="str">
        <f>IMDIV(IMPRODUCT(J134,O134,COMPLEX(M134,0)),IMSUM(COMPLEX(1,0),IMPRODUCT(G134,O134,COMPLEX(N134,0),COMPLEX(M134,0))))</f>
        <v>1.2766335280063-6.30379203672019i</v>
      </c>
      <c r="S134" s="114">
        <f t="shared" si="30"/>
        <v>16.16660191110072</v>
      </c>
      <c r="T134" s="114">
        <f>IMARGUMENT(R134)*(180/PI())</f>
        <v>-78.551394074122584</v>
      </c>
      <c r="U134" s="97" t="str">
        <f>IMPRODUCT(COMPLEX(-1,0),IMDIV(COMPLEX(1,C134*Calculations!$B$204*Calculations!$B$206),IMPRODUCT(COMPLEX(0,C134*Calculations!$B$193),COMPLEX((Calculations!$B$206+Calculations!$B$208),C134*Calculations!$B$204*Calculations!$B$206*Calculations!$B$208))))</f>
        <v>-0.180146631313773+0.0700107924696858i</v>
      </c>
      <c r="V134" s="114">
        <f t="shared" si="32"/>
        <v>-14.276591670098931</v>
      </c>
      <c r="W134" s="114">
        <f t="shared" si="33"/>
        <v>158.76226775709134</v>
      </c>
      <c r="X134" s="44">
        <f>Calculations!$B$216/(Calculations!$B$216+Calculations!$B$218)</f>
        <v>0.6875</v>
      </c>
      <c r="Y134" s="44" t="str">
        <f t="shared" si="34"/>
        <v>0.145304669511597+0.842177204623439i</v>
      </c>
      <c r="Z134" s="114">
        <f t="shared" si="35"/>
        <v>-1.3645357089522172</v>
      </c>
      <c r="AA134" s="119">
        <f t="shared" si="36"/>
        <v>80.210873682968725</v>
      </c>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row>
    <row r="135" spans="1:70">
      <c r="A135" t="s">
        <v>340</v>
      </c>
      <c r="B135" s="101">
        <f>Calculations!B230*1000</f>
        <v>370.1277746323147</v>
      </c>
      <c r="C135" s="97">
        <f t="shared" si="37"/>
        <v>2325.5813953488368</v>
      </c>
      <c r="D135" s="98" t="str">
        <f t="shared" si="38"/>
        <v>0.228422324186764-0.410616832425361i</v>
      </c>
      <c r="E135" s="97">
        <f t="shared" si="15"/>
        <v>-6.5603448530767041</v>
      </c>
      <c r="F135" s="97">
        <f>IMARGUMENT(D135)*(180/PI())</f>
        <v>-60.913219495244128</v>
      </c>
      <c r="G135" s="97" t="str">
        <f t="shared" si="39"/>
        <v>75.2967467344029+126.645209864584i</v>
      </c>
      <c r="H135" s="97">
        <f t="shared" si="23"/>
        <v>43.366320015193153</v>
      </c>
      <c r="I135" s="97">
        <f>IMARGUMENT(G135)*(180/PI())</f>
        <v>59.266454448371839</v>
      </c>
      <c r="J135" s="98" t="str">
        <f t="shared" si="40"/>
        <v>69.2021128092151-1.98951845162632i</v>
      </c>
      <c r="K135" s="97">
        <f t="shared" si="25"/>
        <v>36.805975162116461</v>
      </c>
      <c r="L135" s="97">
        <f>IMARGUMENT(J135)*(180/PI())</f>
        <v>-1.6467650468722135</v>
      </c>
      <c r="M135" s="28">
        <f t="shared" si="41"/>
        <v>0.48484848484848486</v>
      </c>
      <c r="N135" s="97">
        <f t="shared" si="42"/>
        <v>0.02</v>
      </c>
      <c r="O135" s="97" t="str">
        <f t="shared" si="43"/>
        <v>1.55291831102926-12.6530176961183i</v>
      </c>
      <c r="P135" s="97">
        <f t="shared" si="20"/>
        <v>22.108811916058642</v>
      </c>
      <c r="Q135" s="97">
        <f>IMARGUMENT(O135)*(180/PI())</f>
        <v>-83.003019703098587</v>
      </c>
      <c r="R135" s="97" t="str">
        <f>IMDIV(IMPRODUCT(J135,O135,COMPLEX(M135,0)),IMSUM(COMPLEX(1,0),IMPRODUCT(G135,O135,COMPLEX(N135,0),COMPLEX(M135,0))))</f>
        <v>10.4585722040136-19.7684264761137i</v>
      </c>
      <c r="S135" s="97">
        <f t="shared" si="30"/>
        <v>26.991197387953513</v>
      </c>
      <c r="T135" s="97">
        <f>IMARGUMENT(R135)*(180/PI())</f>
        <v>-62.118726170985177</v>
      </c>
      <c r="U135" s="97" t="str">
        <f>IMPRODUCT(COMPLEX(-1,0),IMDIV(COMPLEX(1,C135*Calculations!$B$204*Calculations!$B$206),IMPRODUCT(COMPLEX(0,C135*Calculations!$B$193),COMPLEX((Calculations!$B$206+Calculations!$B$208),C135*Calculations!$B$204*Calculations!$B$206*Calculations!$B$208))))</f>
        <v>-0.1829793774582+0.195056016370441i</v>
      </c>
      <c r="V135" s="97">
        <f t="shared" si="32"/>
        <v>-11.455220838962505</v>
      </c>
      <c r="W135" s="97">
        <f>IMARGUMENT(U135)*(180/PI())</f>
        <v>133.1702633856321</v>
      </c>
      <c r="X135" s="44">
        <f>Calculations!$B$216/(Calculations!$B$216+Calculations!$B$218)</f>
        <v>0.6875</v>
      </c>
      <c r="Y135" s="44" t="str">
        <f t="shared" si="34"/>
        <v>1.33529514755357+3.88933998816344i</v>
      </c>
      <c r="Z135" s="97">
        <f t="shared" si="35"/>
        <v>12.281430599037018</v>
      </c>
      <c r="AA135" s="120">
        <f>IMARGUMENT(Y135)*(180/PI())</f>
        <v>71.051537214646984</v>
      </c>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0" ht="15.75" thickBot="1">
      <c r="A136" t="s">
        <v>341</v>
      </c>
      <c r="B136" s="102">
        <f>Calculations!B231*1000</f>
        <v>11215.993170676204</v>
      </c>
      <c r="C136" s="99">
        <f t="shared" si="37"/>
        <v>70472.1634954193</v>
      </c>
      <c r="D136" s="118" t="str">
        <f t="shared" si="38"/>
        <v>0.0102062619579217-0.017382640028239i</v>
      </c>
      <c r="E136" s="99">
        <f t="shared" si="15"/>
        <v>-33.911275702271105</v>
      </c>
      <c r="F136" s="99">
        <f>IMARGUMENT(D136)*(180/PI())</f>
        <v>-59.580564505171495</v>
      </c>
      <c r="G136" s="99" t="str">
        <f t="shared" si="39"/>
        <v>1.23019266777141-87.0755576791716i</v>
      </c>
      <c r="H136" s="99">
        <f t="shared" si="23"/>
        <v>38.798792043659212</v>
      </c>
      <c r="I136" s="99">
        <f>IMARGUMENT(G136)*(180/PI())</f>
        <v>-89.190586190053722</v>
      </c>
      <c r="J136" s="118" t="str">
        <f t="shared" si="40"/>
        <v>-1.50104740576921-0.910099948114995i</v>
      </c>
      <c r="K136" s="99">
        <f t="shared" si="25"/>
        <v>4.8875163413880971</v>
      </c>
      <c r="L136" s="99">
        <f>IMARGUMENT(J136)*(180/PI())</f>
        <v>-148.77115069522517</v>
      </c>
      <c r="M136" s="28">
        <f t="shared" si="41"/>
        <v>0.48484848484848486</v>
      </c>
      <c r="N136" s="99">
        <f t="shared" si="42"/>
        <v>0.02</v>
      </c>
      <c r="O136" s="99" t="str">
        <f t="shared" si="43"/>
        <v>1.53222424508758-0.595518551070377i</v>
      </c>
      <c r="P136" s="99">
        <f t="shared" si="20"/>
        <v>4.3174215638077982</v>
      </c>
      <c r="Q136" s="99">
        <f>IMARGUMENT(O136)*(180/PI())</f>
        <v>-21.239251969585482</v>
      </c>
      <c r="R136" s="99" t="str">
        <f>IMDIV(IMPRODUCT(J136,O136,COMPLEX(M136,0)),IMSUM(COMPLEX(1,0),IMPRODUCT(G136,O136,COMPLEX(N136,0),COMPLEX(M136,0))))</f>
        <v>-0.201488977160154-0.979382606315637i</v>
      </c>
      <c r="S136" s="99">
        <f t="shared" si="30"/>
        <v>-9.20378510670645E-4</v>
      </c>
      <c r="T136" s="99">
        <f>IMARGUMENT(R136)*(180/PI())</f>
        <v>-101.62529284354257</v>
      </c>
      <c r="U136" s="97" t="str">
        <f>IMPRODUCT(COMPLEX(-1,0),IMDIV(COMPLEX(1,C136*Calculations!$B$204*Calculations!$B$206),IMPRODUCT(COMPLEX(0,C136*Calculations!$B$193),COMPLEX((Calculations!$B$206+Calculations!$B$208),C136*Calculations!$B$204*Calculations!$B$206*Calculations!$B$208))))</f>
        <v>-0.0945554571934474+0.0977787581737151i</v>
      </c>
      <c r="V136" s="99">
        <f t="shared" si="32"/>
        <v>-17.327949370174739</v>
      </c>
      <c r="W136" s="99">
        <f>IMARGUMENT(U136)*(180/PI())</f>
        <v>134.03987829209254</v>
      </c>
      <c r="X136" s="44">
        <f>Calculations!$B$216/(Calculations!$B$216+Calculations!$B$218)</f>
        <v>0.6875</v>
      </c>
      <c r="Y136" s="44" t="str">
        <f t="shared" si="34"/>
        <v>0.0789351044468924+0.0501219318428629i</v>
      </c>
      <c r="Z136" s="99">
        <f t="shared" si="35"/>
        <v>-20.583415698639396</v>
      </c>
      <c r="AA136" s="100">
        <f>IMARGUMENT(Y136)*(180/PI())</f>
        <v>32.414585448549971</v>
      </c>
    </row>
    <row r="137" spans="1:70" ht="15.75" thickBot="1">
      <c r="A137" t="s">
        <v>342</v>
      </c>
      <c r="B137" s="121">
        <f>Calculations!B195</f>
        <v>198.94367886486918</v>
      </c>
      <c r="C137" s="99">
        <f t="shared" si="37"/>
        <v>1250</v>
      </c>
      <c r="D137" s="118" t="str">
        <f t="shared" si="38"/>
        <v>0.500024751249938-0.495024998762438i</v>
      </c>
      <c r="E137" s="99">
        <f t="shared" si="15"/>
        <v>-3.053294413644339</v>
      </c>
      <c r="F137" s="99">
        <f>IMARGUMENT(D137)*(180/PI())</f>
        <v>-44.712112579900378</v>
      </c>
      <c r="G137" s="99" t="str">
        <f t="shared" si="39"/>
        <v>68.5151695029751+65.8801348692677i</v>
      </c>
      <c r="H137" s="99">
        <f t="shared" si="23"/>
        <v>39.559051135584347</v>
      </c>
      <c r="I137" s="99">
        <f>IMARGUMENT(G137)*(180/PI())</f>
        <v>43.876768630389719</v>
      </c>
      <c r="J137" s="118" t="str">
        <f t="shared" si="40"/>
        <v>66.8715942697009-0.975023648100544i</v>
      </c>
      <c r="K137" s="99">
        <f t="shared" si="25"/>
        <v>36.505756721940003</v>
      </c>
      <c r="L137" s="99">
        <f>IMARGUMENT(J137)*(180/PI())</f>
        <v>-0.83534394951067703</v>
      </c>
      <c r="M137" s="28">
        <f t="shared" si="41"/>
        <v>0.48484848484848486</v>
      </c>
      <c r="N137" s="99">
        <f t="shared" si="42"/>
        <v>0.02</v>
      </c>
      <c r="O137" s="99" t="str">
        <f t="shared" si="43"/>
        <v>1.55293457043251-23.5326146922574i</v>
      </c>
      <c r="P137" s="99">
        <f t="shared" si="20"/>
        <v>27.452275176811387</v>
      </c>
      <c r="Q137" s="99">
        <f>IMARGUMENT(O137)*(180/PI())</f>
        <v>-86.224483484750039</v>
      </c>
      <c r="R137" s="99" t="str">
        <f>IMDIV(IMPRODUCT(J137,O137,COMPLEX(M137,0)),IMSUM(COMPLEX(1,0),IMPRODUCT(G137,O137,COMPLEX(N137,0),COMPLEX(M137,0))))</f>
        <v>23.4406625236993-24.6399044951759i</v>
      </c>
      <c r="S137" s="99">
        <f t="shared" si="30"/>
        <v>30.631792652115557</v>
      </c>
      <c r="T137" s="99">
        <f>IMARGUMENT(R137)*(180/PI())</f>
        <v>-46.428794712967978</v>
      </c>
      <c r="U137" s="97" t="str">
        <f>IMPRODUCT(COMPLEX(-1,0),IMDIV(COMPLEX(1,C137*Calculations!$B$204*Calculations!$B$206),IMPRODUCT(COMPLEX(0,C137*Calculations!$B$193),COMPLEX((Calculations!$B$206+Calculations!$B$208),C137*Calculations!$B$204*Calculations!$B$206*Calculations!$B$208))))</f>
        <v>-0.183112125528321+0.355163906062848i</v>
      </c>
      <c r="V137" s="99">
        <f t="shared" si="32"/>
        <v>-7.9677272893489146</v>
      </c>
      <c r="W137" s="99">
        <f>IMARGUMENT(U137)*(180/PI())</f>
        <v>117.27430838826881</v>
      </c>
      <c r="X137" s="44">
        <f>Calculations!$B$216/(Calculations!$B$216+Calculations!$B$218)</f>
        <v>0.6875</v>
      </c>
      <c r="Y137" s="44" t="str">
        <f t="shared" si="34"/>
        <v>3.0655179410732+8.82553550143684i</v>
      </c>
      <c r="Z137" s="99">
        <f t="shared" si="35"/>
        <v>19.409519412812617</v>
      </c>
      <c r="AA137" s="100">
        <f>IMARGUMENT(Y137)*(180/PI())</f>
        <v>70.845513675300737</v>
      </c>
    </row>
    <row r="165" spans="2:94" ht="32.25" thickBot="1">
      <c r="B165" s="32" t="s">
        <v>297</v>
      </c>
    </row>
    <row r="166" spans="2:94">
      <c r="B166" s="308" t="s">
        <v>33</v>
      </c>
      <c r="C166" s="309"/>
      <c r="D166" s="315" t="s">
        <v>31</v>
      </c>
      <c r="E166" s="316"/>
      <c r="F166" s="316"/>
      <c r="G166" s="316" t="s">
        <v>291</v>
      </c>
      <c r="H166" s="316"/>
      <c r="I166" s="316"/>
      <c r="J166" s="316" t="s">
        <v>292</v>
      </c>
      <c r="K166" s="316"/>
      <c r="L166" s="316"/>
      <c r="M166" s="316"/>
      <c r="N166" s="316"/>
      <c r="O166" s="316"/>
      <c r="P166" s="316"/>
      <c r="Q166" s="316"/>
      <c r="R166" s="316"/>
      <c r="S166" s="316"/>
      <c r="T166" s="316"/>
      <c r="U166" s="77"/>
      <c r="V166" s="77"/>
      <c r="W166" s="77"/>
      <c r="X166" s="77"/>
      <c r="Y166" s="77"/>
      <c r="Z166" s="77"/>
      <c r="AA166" s="77"/>
      <c r="AB166" s="77"/>
      <c r="AC166" s="307"/>
      <c r="AD166" s="307"/>
      <c r="AE166" s="307"/>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306"/>
      <c r="BE166" s="306"/>
      <c r="BF166" s="306"/>
      <c r="BG166" s="306"/>
      <c r="BH166" s="306"/>
      <c r="BI166" s="306"/>
      <c r="BJ166" s="306"/>
      <c r="BK166" s="306"/>
      <c r="BL166" s="306"/>
      <c r="BM166" s="306"/>
      <c r="BN166" s="306"/>
      <c r="BO166" s="306"/>
      <c r="BP166" s="306"/>
      <c r="BQ166" s="306"/>
      <c r="BR166" s="306"/>
      <c r="BS166" s="306"/>
      <c r="BT166" s="306"/>
      <c r="BU166" s="306"/>
      <c r="BV166" s="306"/>
      <c r="BW166" s="306"/>
      <c r="BX166" s="306"/>
      <c r="BY166" s="306"/>
      <c r="BZ166" s="306"/>
      <c r="CA166" s="306"/>
      <c r="CB166" s="306"/>
      <c r="CC166" s="306"/>
      <c r="CD166" s="306"/>
      <c r="CE166" s="306"/>
      <c r="CF166" s="306"/>
      <c r="CG166" s="306"/>
      <c r="CH166" s="306"/>
      <c r="CI166" s="306"/>
      <c r="CJ166" s="306"/>
      <c r="CK166" s="306"/>
      <c r="CL166" s="306"/>
      <c r="CM166" s="306"/>
      <c r="CN166" s="306"/>
      <c r="CO166" s="306"/>
      <c r="CP166" s="306"/>
    </row>
    <row r="167" spans="2:94" ht="15.75" thickBot="1">
      <c r="B167" s="310"/>
      <c r="C167" s="311"/>
      <c r="D167" s="312" t="s">
        <v>290</v>
      </c>
      <c r="E167" s="313"/>
      <c r="F167" s="314"/>
      <c r="G167" s="312" t="s">
        <v>290</v>
      </c>
      <c r="H167" s="313"/>
      <c r="I167" s="314"/>
      <c r="J167" s="312" t="s">
        <v>290</v>
      </c>
      <c r="K167" s="313"/>
      <c r="L167" s="314"/>
      <c r="M167" s="317" t="s">
        <v>295</v>
      </c>
      <c r="N167" s="306"/>
      <c r="O167" s="306" t="s">
        <v>299</v>
      </c>
      <c r="P167" s="306"/>
      <c r="Q167" s="306"/>
      <c r="R167" s="306" t="s">
        <v>296</v>
      </c>
      <c r="S167" s="306"/>
      <c r="T167" s="306"/>
      <c r="U167" s="306" t="s">
        <v>298</v>
      </c>
      <c r="V167" s="306"/>
      <c r="W167" s="306"/>
      <c r="X167" s="170" t="s">
        <v>295</v>
      </c>
      <c r="Y167" s="306" t="s">
        <v>300</v>
      </c>
      <c r="Z167" s="306"/>
      <c r="AA167" s="306"/>
      <c r="AB167" s="78"/>
      <c r="AC167" s="307"/>
      <c r="AD167" s="307"/>
      <c r="AE167" s="307"/>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c r="CF167" s="306"/>
      <c r="CG167" s="306"/>
      <c r="CH167" s="306"/>
      <c r="CI167" s="306"/>
      <c r="CJ167" s="306"/>
      <c r="CK167" s="306"/>
      <c r="CL167" s="306"/>
      <c r="CM167" s="306"/>
      <c r="CN167" s="306"/>
      <c r="CO167" s="306"/>
      <c r="CP167" s="306"/>
    </row>
    <row r="168" spans="2:94" ht="45">
      <c r="B168" s="25" t="s">
        <v>35</v>
      </c>
      <c r="C168" s="26" t="s">
        <v>34</v>
      </c>
      <c r="D168" s="25" t="s">
        <v>38</v>
      </c>
      <c r="E168" s="26" t="s">
        <v>36</v>
      </c>
      <c r="F168" s="27" t="s">
        <v>37</v>
      </c>
      <c r="G168" s="25" t="s">
        <v>38</v>
      </c>
      <c r="H168" s="26" t="s">
        <v>36</v>
      </c>
      <c r="I168" s="27" t="s">
        <v>37</v>
      </c>
      <c r="J168" s="25" t="s">
        <v>38</v>
      </c>
      <c r="K168" s="26" t="s">
        <v>36</v>
      </c>
      <c r="L168" s="27" t="s">
        <v>37</v>
      </c>
      <c r="M168" s="76" t="s">
        <v>293</v>
      </c>
      <c r="N168" s="76" t="s">
        <v>294</v>
      </c>
      <c r="O168" s="25" t="s">
        <v>38</v>
      </c>
      <c r="P168" s="26" t="s">
        <v>36</v>
      </c>
      <c r="Q168" s="27" t="s">
        <v>37</v>
      </c>
      <c r="R168" s="25" t="s">
        <v>38</v>
      </c>
      <c r="S168" s="26" t="s">
        <v>36</v>
      </c>
      <c r="T168" s="27" t="s">
        <v>37</v>
      </c>
      <c r="U168" s="25" t="s">
        <v>38</v>
      </c>
      <c r="V168" s="26" t="s">
        <v>36</v>
      </c>
      <c r="W168" s="27" t="s">
        <v>37</v>
      </c>
      <c r="X168" s="180" t="s">
        <v>370</v>
      </c>
      <c r="Y168" s="25" t="s">
        <v>38</v>
      </c>
      <c r="Z168" s="26" t="s">
        <v>36</v>
      </c>
      <c r="AA168" s="27" t="s">
        <v>37</v>
      </c>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row>
    <row r="169" spans="2:94">
      <c r="B169" s="1">
        <v>1</v>
      </c>
      <c r="C169" s="1">
        <f t="shared" ref="C169:C200" si="44">2*PI()*B169</f>
        <v>6.2831853071795862</v>
      </c>
      <c r="D169" s="80" t="str">
        <f>IMDIV(COMPLEX((POWER(V48_Nom,2)/(V12_Min*Calculations!$B$28*np)),((Zo_Boost_Cout*Zo_Boost_Resr*POWER(V48_Nom,2))/(V12_Min*Calculations!$B$28*np))*C169),COMPLEX(1,((Zo_Boost_Cout*Zo_Boost_Resr)+((Zo_Boost_Cout*POWER(V48_Nom,2))/(V12_Min*Calculations!$B$28*np)))*C169))</f>
        <v>24.9826189891995-2.37416916235773i</v>
      </c>
      <c r="E169" s="1">
        <f t="shared" ref="E169:E200" si="45">20*LOG(IMABS(D169))</f>
        <v>27.991805415914165</v>
      </c>
      <c r="F169" s="1">
        <f t="shared" ref="F169:F200" si="46">IMARGUMENT(D169)*(180/PI())</f>
        <v>-5.4286770957361146</v>
      </c>
      <c r="G169" s="1" t="str">
        <f>IMDIV(IMSUM(COMPLEX(V48_Nom,0),IMPRODUCT(COMPLEX(np*(Calculations!$B$28*(V12_Min/V48_Nom)),0),D169)),IMSUM(IMPRODUCT(COMPLEX(((V12_Min/V48_Nom)^2),0),D169),COMPLEX(Rcs/np,(Lm*C169)/np)))</f>
        <v>131.922996916238+6.25002524550387i</v>
      </c>
      <c r="H169" s="1">
        <f>20*LOG10(IMABS(G169))</f>
        <v>42.416147055633374</v>
      </c>
      <c r="I169" s="1">
        <f>IMARGUMENT(G169)*(180/PI())</f>
        <v>2.7124346526528655</v>
      </c>
      <c r="J169" s="82" t="str">
        <f>IMPRODUCT(COMPLEX(-1,0),IMDIV(IMSUM(IMSUB(IMPRODUCT(COMPLEX((1-(V12_Min/V48_Nom))*V48_Nom,0),D169),IMPRODUCT(COMPLEX(V48_Nom,0),D169)),IMPRODUCT(COMPLEX(0,Calculations!$B$28*Lm*C169),D169)),IMSUM(IMPRODUCT(COMPLEX(((V12_Min/V48_Nom)^2),0),D169),COMPLEX(Rcs/np,(Lm*C169)/np))))</f>
        <v>302.320980187733-0.0673611882634651i</v>
      </c>
      <c r="K169" s="81">
        <f>20*LOG10(IMABS(J169))</f>
        <v>49.609365955301527</v>
      </c>
      <c r="L169" s="81">
        <f>IMARGUMENT(J169)*(180/PI())</f>
        <v>-1.2766271544292102E-2</v>
      </c>
      <c r="M169" s="1">
        <f t="shared" ref="M169:M200" si="47">1/(Kff*V48_Nom)</f>
        <v>0.58181818181818179</v>
      </c>
      <c r="N169" s="81">
        <f t="shared" ref="N169:N200" si="48">Rcs*Acs/np</f>
        <v>0.02</v>
      </c>
      <c r="O169" s="81" t="str">
        <f t="shared" ref="O169:O200" si="49">IMPRODUCT(COMPLEX(gm/(IL_Comp_Ccomp+IL_Comp_Chf),0),IMDIV(COMPLEX(1,C169*IL_Comp_Rcomp*IL_Comp_Ccomp),IMPRODUCT(COMPLEX(0,C169),COMPLEX(1,C169*IL_Comp_Rcomp*IL_Comp_Chf))))</f>
        <v>1.55294117630368-4681.02775409665i</v>
      </c>
      <c r="P169" s="81">
        <f>20*LOG(IMABS(O169))</f>
        <v>73.406824799848835</v>
      </c>
      <c r="Q169" s="81">
        <f>IMARGUMENT(O169)*(180/PI())</f>
        <v>-89.980992000764758</v>
      </c>
      <c r="R169" s="81" t="str">
        <f>IMDIV(IMPRODUCT(O169,J169,COMPLEX(M169,0)),IMSUM(COMPLEX(1,0),IMPRODUCT(G169,O169,COMPLEX(M169,0),COMPLEX(N169,0))))</f>
        <v>114.323037373794-5.45764372240115i</v>
      </c>
      <c r="S169" s="81">
        <f>20*LOG10(IMABS(R169))</f>
        <v>41.172561365037801</v>
      </c>
      <c r="T169" s="81">
        <f>IMARGUMENT(R169)*(180/PI())</f>
        <v>-2.7331562905020319</v>
      </c>
      <c r="U169" s="81" t="str">
        <f>IMPRODUCT(COMPLEX(-1,0),IMDIV(COMPLEX(1,C169*Calculations!$B$248*Calculations!$B$250),IMPRODUCT(COMPLEX(0,C169*Calculations!$B$237),COMPLEX((Calculations!$B$250+Calculations!$B$252),C169*Calculations!$B$248*Calculations!$B$250*Calculations!$B$252))))</f>
        <v>-0.998002992072904+15.8996573582087i</v>
      </c>
      <c r="V169" s="81">
        <f>20*LOG10(IMABS(U169))</f>
        <v>24.044832570484896</v>
      </c>
      <c r="W169" s="81">
        <f>IMARGUMENT(U169)*(180/PI())</f>
        <v>93.591677376276479</v>
      </c>
      <c r="X169" s="81">
        <f>Calculations!$B$216/(Calculations!$B$216+Calculations!$B$218)</f>
        <v>0.6875</v>
      </c>
      <c r="Y169" s="81" t="str">
        <f>IMPRODUCT(IMPRODUCT(U169,R169), COMPLEX(X169,0))</f>
        <v>-18.7825468823794+1253.41140867088i</v>
      </c>
      <c r="Z169" s="81">
        <f>20*LOG10(IMABS(Y169))</f>
        <v>61.962847985568736</v>
      </c>
      <c r="AA169" s="81">
        <f>IMARGUMENT(Y169)*(180/PI())</f>
        <v>90.858521085774441</v>
      </c>
      <c r="AB169" s="44"/>
      <c r="AC169" s="44"/>
      <c r="AD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row>
    <row r="170" spans="2:94">
      <c r="B170" s="1">
        <v>1.2915496650148839</v>
      </c>
      <c r="C170" s="1">
        <f t="shared" si="44"/>
        <v>8.1150458787142341</v>
      </c>
      <c r="D170" s="80" t="str">
        <f>IMDIV(COMPLEX((POWER(V48_Nom,2)/(V12_Min*Calculations!$B$28*np)),((Zo_Boost_Cout*Zo_Boost_Resr*POWER(V48_Nom,2))/(V12_Min*Calculations!$B$28*np))*C170),COMPLEX(1,((Zo_Boost_Cout*Zo_Boost_Resr)+((Zo_Boost_Cout*POWER(V48_Nom,2))/(V12_Min*Calculations!$B$28*np)))*C170))</f>
        <v>24.8340589658946-3.04811588540483i</v>
      </c>
      <c r="E170" s="1">
        <f t="shared" si="45"/>
        <v>27.965892454699912</v>
      </c>
      <c r="F170" s="1">
        <f t="shared" si="46"/>
        <v>-6.9974472241893944</v>
      </c>
      <c r="G170" s="1" t="str">
        <f>IMDIV(IMSUM(COMPLEX(V48_Nom,0),IMPRODUCT(COMPLEX(np*(Calculations!$B$28*(V12_Min/V48_Nom)),0),D170)),IMSUM(IMPRODUCT(COMPLEX(((V12_Min/V48_Nom)^2),0),D170),COMPLEX(Rcs/np,(Lm*C170)/np)))</f>
        <v>131.924432976605+8.07226018205295i</v>
      </c>
      <c r="H170" s="1">
        <f t="shared" ref="H170:H228" si="50">20*LOG10(IMABS(G170))</f>
        <v>42.422734495625448</v>
      </c>
      <c r="I170" s="1">
        <f t="shared" ref="I170:I223" si="51">IMARGUMENT(G170)*(180/PI())</f>
        <v>3.5014781493222076</v>
      </c>
      <c r="J170" s="82" t="str">
        <f>IMPRODUCT(COMPLEX(-1,0),IMDIV(IMSUM(IMSUB(IMPRODUCT(COMPLEX((1-(V12_Min/V48_Nom))*V48_Nom,0),D170),IMPRODUCT(COMPLEX(V48_Nom,0),D170)),IMPRODUCT(COMPLEX(0,Calculations!$B$28*Lm*C170),D170)),IMSUM(IMPRODUCT(COMPLEX(((V12_Min/V48_Nom)^2),0),D170),COMPLEX(Rcs/np,(Lm*C170)/np))))</f>
        <v>302.322564510609-0.0870011415447576i</v>
      </c>
      <c r="K170" s="81">
        <f t="shared" ref="K170:K228" si="52">20*LOG10(IMABS(J170))</f>
        <v>49.609411617919477</v>
      </c>
      <c r="L170" s="81">
        <f t="shared" ref="L170:L223" si="53">IMARGUMENT(J170)*(180/PI())</f>
        <v>-1.6488342819527442E-2</v>
      </c>
      <c r="M170" s="1">
        <f t="shared" si="47"/>
        <v>0.58181818181818179</v>
      </c>
      <c r="N170" s="81">
        <f t="shared" si="48"/>
        <v>0.02</v>
      </c>
      <c r="O170" s="81" t="str">
        <f t="shared" si="49"/>
        <v>1.55294117619217-3624.34979594762i</v>
      </c>
      <c r="P170" s="81">
        <f t="shared" ref="P170:P228" si="54">20*LOG(IMABS(O170))</f>
        <v>71.184602916925655</v>
      </c>
      <c r="Q170" s="81">
        <f t="shared" ref="Q170:Q223" si="55">IMARGUMENT(O170)*(180/PI())</f>
        <v>-89.975450225615006</v>
      </c>
      <c r="R170" s="81" t="str">
        <f t="shared" ref="R170:R223" si="56">IMDIV(IMPRODUCT(O170,J170,COMPLEX(M170,0)),IMSUM(COMPLEX(1,0),IMPRODUCT(G170,O170,COMPLEX(M170,0),COMPLEX(N170,0))))</f>
        <v>114.149790890577-7.0381459952732i</v>
      </c>
      <c r="S170" s="81">
        <f t="shared" ref="S170:S228" si="57">20*LOG10(IMABS(R170))</f>
        <v>41.165981236417863</v>
      </c>
      <c r="T170" s="81">
        <f t="shared" ref="T170:T223" si="58">IMARGUMENT(R170)*(180/PI())</f>
        <v>-3.5282256276485908</v>
      </c>
      <c r="U170" s="81" t="str">
        <f>IMPRODUCT(COMPLEX(-1,0),IMDIV(COMPLEX(1,C170*Calculations!$B$248*Calculations!$B$250),IMPRODUCT(COMPLEX(0,C170*Calculations!$B$237),COMPLEX((Calculations!$B$250+Calculations!$B$252),C170*Calculations!$B$248*Calculations!$B$250*Calculations!$B$252))))</f>
        <v>-0.998002989445874+12.3105596642598i</v>
      </c>
      <c r="V170" s="81">
        <f t="shared" ref="V170:V228" si="59">20*LOG10(IMABS(U170))</f>
        <v>21.83400508827819</v>
      </c>
      <c r="W170" s="81">
        <f t="shared" ref="W170:W224" si="60">IMARGUMENT(U170)*(180/PI())</f>
        <v>94.634767558863331</v>
      </c>
      <c r="X170" s="81">
        <f>Calculations!$B$216/(Calculations!$B$216+Calculations!$B$218)</f>
        <v>0.6875</v>
      </c>
      <c r="Y170" s="81" t="str">
        <f t="shared" ref="Y170:Y228" si="61">IMPRODUCT(IMPRODUCT(U170,R170), COMPLEX(X170,0))</f>
        <v>-18.7538424925743+970.936932738211i</v>
      </c>
      <c r="Z170" s="81">
        <f t="shared" ref="Z170:Z228" si="62">20*LOG10(IMABS(Y170))</f>
        <v>59.745440374742074</v>
      </c>
      <c r="AA170" s="81">
        <f t="shared" ref="AA170:AA224" si="63">IMARGUMENT(Y170)*(180/PI())</f>
        <v>91.106541931214721</v>
      </c>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row>
    <row r="171" spans="2:94">
      <c r="B171" s="1">
        <v>1.6681005372000588</v>
      </c>
      <c r="C171" s="1">
        <f t="shared" si="44"/>
        <v>10.480984786233785</v>
      </c>
      <c r="D171" s="80" t="str">
        <f>IMDIV(COMPLEX((POWER(V48_Nom,2)/(V12_Min*Calculations!$B$28*np)),((Zo_Boost_Cout*Zo_Boost_Resr*POWER(V48_Nom,2))/(V12_Min*Calculations!$B$28*np))*C171),COMPLEX(1,((Zo_Boost_Cout*Zo_Boost_Resr)+((Zo_Boost_Cout*POWER(V48_Nom,2))/(V12_Min*Calculations!$B$28*np)))*C171))</f>
        <v>24.5901406267214-3.89811058261512i</v>
      </c>
      <c r="E171" s="1">
        <f t="shared" si="45"/>
        <v>27.923008158886997</v>
      </c>
      <c r="F171" s="1">
        <f t="shared" si="46"/>
        <v>-9.0077619874277044</v>
      </c>
      <c r="G171" s="1" t="str">
        <f>IMDIV(IMSUM(COMPLEX(V48_Nom,0),IMPRODUCT(COMPLEX(np*(Calculations!$B$28*(V12_Min/V48_Nom)),0),D171)),IMSUM(IMPRODUCT(COMPLEX(((V12_Min/V48_Nom)^2),0),D171),COMPLEX(Rcs/np,(Lm*C171)/np)))</f>
        <v>131.926828520565+10.425815787574i</v>
      </c>
      <c r="H171" s="1">
        <f t="shared" si="50"/>
        <v>42.433701127681545</v>
      </c>
      <c r="I171" s="1">
        <f t="shared" si="51"/>
        <v>4.5185375306001507</v>
      </c>
      <c r="J171" s="82" t="str">
        <f>IMPRODUCT(COMPLEX(-1,0),IMDIV(IMSUM(IMSUB(IMPRODUCT(COMPLEX((1-(V12_Min/V48_Nom))*V48_Nom,0),D171),IMPRODUCT(COMPLEX(V48_Nom,0),D171)),IMPRODUCT(COMPLEX(0,Calculations!$B$28*Lm*C171),D171)),IMSUM(IMPRODUCT(COMPLEX(((V12_Min/V48_Nom)^2),0),D171),COMPLEX(Rcs/np,(Lm*C171)/np))))</f>
        <v>302.325207357253-0.112368064918435i</v>
      </c>
      <c r="K171" s="81">
        <f t="shared" si="52"/>
        <v>49.609487788288938</v>
      </c>
      <c r="L171" s="81">
        <f t="shared" si="53"/>
        <v>-2.1295662481097846E-2</v>
      </c>
      <c r="M171" s="1">
        <f t="shared" si="47"/>
        <v>0.58181818181818179</v>
      </c>
      <c r="N171" s="81">
        <f t="shared" si="48"/>
        <v>0.02</v>
      </c>
      <c r="O171" s="81" t="str">
        <f t="shared" si="49"/>
        <v>1.55294117600615-2806.20243109123i</v>
      </c>
      <c r="P171" s="81">
        <f t="shared" si="54"/>
        <v>68.96238126068819</v>
      </c>
      <c r="Q171" s="81">
        <f t="shared" si="55"/>
        <v>-89.968292748538587</v>
      </c>
      <c r="R171" s="81" t="str">
        <f t="shared" si="56"/>
        <v>113.861962799941-9.06721577798599i</v>
      </c>
      <c r="S171" s="81">
        <f t="shared" si="57"/>
        <v>41.155027058927317</v>
      </c>
      <c r="T171" s="81">
        <f t="shared" si="58"/>
        <v>-4.553049869388901</v>
      </c>
      <c r="U171" s="81" t="str">
        <f>IMPRODUCT(COMPLEX(-1,0),IMDIV(COMPLEX(1,C171*Calculations!$B$248*Calculations!$B$250),IMPRODUCT(COMPLEX(0,C171*Calculations!$B$237),COMPLEX((Calculations!$B$250+Calculations!$B$252),C171*Calculations!$B$248*Calculations!$B$250*Calculations!$B$252))))</f>
        <v>-0.998002985063724+9.53166111382708i</v>
      </c>
      <c r="V171" s="81">
        <f t="shared" si="59"/>
        <v>19.630724158899486</v>
      </c>
      <c r="W171" s="81">
        <f t="shared" si="60"/>
        <v>95.977317465314059</v>
      </c>
      <c r="X171" s="81">
        <f>Calculations!$B$216/(Calculations!$B$216+Calculations!$B$218)</f>
        <v>0.6875</v>
      </c>
      <c r="Y171" s="81" t="str">
        <f t="shared" si="61"/>
        <v>-18.7061536185201+752.360641709098i</v>
      </c>
      <c r="Z171" s="81">
        <f t="shared" si="62"/>
        <v>57.531205267872807</v>
      </c>
      <c r="AA171" s="81">
        <f t="shared" si="63"/>
        <v>91.424267595925159</v>
      </c>
      <c r="AB171" s="44"/>
      <c r="AC171" s="44"/>
      <c r="AD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row>
    <row r="172" spans="2:94">
      <c r="B172" s="1">
        <v>2.1544346900318838</v>
      </c>
      <c r="C172" s="1">
        <f t="shared" si="44"/>
        <v>13.536712389686338</v>
      </c>
      <c r="D172" s="80" t="str">
        <f>IMDIV(COMPLEX((POWER(V48_Nom,2)/(V12_Min*Calculations!$B$28*np)),((Zo_Boost_Cout*Zo_Boost_Resr*POWER(V48_Nom,2))/(V12_Min*Calculations!$B$28*np))*C172),COMPLEX(1,((Zo_Boost_Cout*Zo_Boost_Resr)+((Zo_Boost_Cout*POWER(V48_Nom,2))/(V12_Min*Calculations!$B$28*np)))*C172))</f>
        <v>24.1937552510775-4.95341418090185i</v>
      </c>
      <c r="E172" s="1">
        <f t="shared" si="45"/>
        <v>27.85240193926694</v>
      </c>
      <c r="F172" s="1">
        <f t="shared" si="46"/>
        <v>-11.570794679357691</v>
      </c>
      <c r="G172" s="1" t="str">
        <f>IMDIV(IMSUM(COMPLEX(V48_Nom,0),IMPRODUCT(COMPLEX(np*(Calculations!$B$28*(V12_Min/V48_Nom)),0),D172)),IMSUM(IMPRODUCT(COMPLEX(((V12_Min/V48_Nom)^2),0),D172),COMPLEX(Rcs/np,(Lm*C172)/np)))</f>
        <v>131.930824670344+13.4656546304784i</v>
      </c>
      <c r="H172" s="1">
        <f t="shared" si="50"/>
        <v>42.451934021046476</v>
      </c>
      <c r="I172" s="1">
        <f t="shared" si="51"/>
        <v>5.8277713984843516</v>
      </c>
      <c r="J172" s="82" t="str">
        <f>IMPRODUCT(COMPLEX(-1,0),IMDIV(IMSUM(IMSUB(IMPRODUCT(COMPLEX((1-(V12_Min/V48_Nom))*V48_Nom,0),D172),IMPRODUCT(COMPLEX(V48_Nom,0),D172)),IMPRODUCT(COMPLEX(0,Calculations!$B$28*Lm*C172),D172)),IMSUM(IMPRODUCT(COMPLEX(((V12_Min/V48_Nom)^2),0),D172),COMPLEX(Rcs/np,(Lm*C172)/np))))</f>
        <v>302.329615993495-0.14513274944351i</v>
      </c>
      <c r="K172" s="81">
        <f t="shared" si="52"/>
        <v>49.60961484960113</v>
      </c>
      <c r="L172" s="81">
        <f t="shared" si="53"/>
        <v>-2.7504726409813291E-2</v>
      </c>
      <c r="M172" s="1">
        <f t="shared" si="47"/>
        <v>0.58181818181818179</v>
      </c>
      <c r="N172" s="81">
        <f t="shared" si="48"/>
        <v>0.02</v>
      </c>
      <c r="O172" s="81" t="str">
        <f t="shared" si="49"/>
        <v>1.55294117569587-2172.74064253767i</v>
      </c>
      <c r="P172" s="81">
        <f t="shared" si="54"/>
        <v>66.740159982585411</v>
      </c>
      <c r="Q172" s="81">
        <f t="shared" si="55"/>
        <v>-89.959048513059429</v>
      </c>
      <c r="R172" s="81" t="str">
        <f t="shared" si="56"/>
        <v>113.385050229114-11.6617546154627i</v>
      </c>
      <c r="S172" s="81">
        <f t="shared" si="57"/>
        <v>41.136815654347032</v>
      </c>
      <c r="T172" s="81">
        <f t="shared" si="58"/>
        <v>-5.8722744124980579</v>
      </c>
      <c r="U172" s="81" t="str">
        <f>IMPRODUCT(COMPLEX(-1,0),IMDIV(COMPLEX(1,C172*Calculations!$B$248*Calculations!$B$250),IMPRODUCT(COMPLEX(0,C172*Calculations!$B$237),COMPLEX((Calculations!$B$250+Calculations!$B$252),C172*Calculations!$B$248*Calculations!$B$250*Calculations!$B$252))))</f>
        <v>-0.998002977753849+7.38007309039854i</v>
      </c>
      <c r="V172" s="81">
        <f t="shared" si="59"/>
        <v>17.439915232472121</v>
      </c>
      <c r="W172" s="81">
        <f t="shared" si="60"/>
        <v>97.701356701882716</v>
      </c>
      <c r="X172" s="81">
        <f>Calculations!$B$216/(Calculations!$B$216+Calculations!$B$218)</f>
        <v>0.6875</v>
      </c>
      <c r="Y172" s="81" t="str">
        <f t="shared" si="61"/>
        <v>-18.6271362317001+583.294541418488i</v>
      </c>
      <c r="Z172" s="81">
        <f t="shared" si="62"/>
        <v>55.322184936865149</v>
      </c>
      <c r="AA172" s="81">
        <f t="shared" si="63"/>
        <v>91.829082289384672</v>
      </c>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row>
    <row r="173" spans="2:94">
      <c r="B173" s="1">
        <v>2.7825594022071245</v>
      </c>
      <c r="C173" s="1">
        <f t="shared" si="44"/>
        <v>17.483336352302217</v>
      </c>
      <c r="D173" s="80" t="str">
        <f>IMDIV(COMPLEX((POWER(V48_Nom,2)/(V12_Min*Calculations!$B$28*np)),((Zo_Boost_Cout*Zo_Boost_Resr*POWER(V48_Nom,2))/(V12_Min*Calculations!$B$28*np))*C173),COMPLEX(1,((Zo_Boost_Cout*Zo_Boost_Resr)+((Zo_Boost_Cout*POWER(V48_Nom,2))/(V12_Min*Calculations!$B$28*np)))*C173))</f>
        <v>23.560248880791-6.22999242127924i</v>
      </c>
      <c r="E173" s="1">
        <f t="shared" si="45"/>
        <v>27.737119599375653</v>
      </c>
      <c r="F173" s="1">
        <f t="shared" si="46"/>
        <v>-14.811606676950394</v>
      </c>
      <c r="G173" s="1" t="str">
        <f>IMDIV(IMSUM(COMPLEX(V48_Nom,0),IMPRODUCT(COMPLEX(np*(Calculations!$B$28*(V12_Min/V48_Nom)),0),D173)),IMSUM(IMPRODUCT(COMPLEX(((V12_Min/V48_Nom)^2),0),D173),COMPLEX(Rcs/np,(Lm*C173)/np)))</f>
        <v>131.937491044009+17.3919834579883i</v>
      </c>
      <c r="H173" s="1">
        <f t="shared" si="50"/>
        <v>42.482181352720659</v>
      </c>
      <c r="I173" s="1">
        <f t="shared" si="51"/>
        <v>7.5094263781720132</v>
      </c>
      <c r="J173" s="82" t="str">
        <f>IMPRODUCT(COMPLEX(-1,0),IMDIV(IMSUM(IMSUB(IMPRODUCT(COMPLEX((1-(V12_Min/V48_Nom))*V48_Nom,0),D173),IMPRODUCT(COMPLEX(V48_Nom,0),D173)),IMPRODUCT(COMPLEX(0,Calculations!$B$28*Lm*C173),D173)),IMSUM(IMPRODUCT(COMPLEX(((V12_Min/V48_Nom)^2),0),D173),COMPLEX(Rcs/np,(Lm*C173)/np))))</f>
        <v>302.336970326878-0.187454368891256i</v>
      </c>
      <c r="K173" s="81">
        <f t="shared" si="52"/>
        <v>49.609826804760687</v>
      </c>
      <c r="L173" s="81">
        <f t="shared" si="53"/>
        <v>-3.5524411059849818E-2</v>
      </c>
      <c r="M173" s="1">
        <f t="shared" si="47"/>
        <v>0.58181818181818179</v>
      </c>
      <c r="N173" s="81">
        <f t="shared" si="48"/>
        <v>0.02</v>
      </c>
      <c r="O173" s="81" t="str">
        <f t="shared" si="49"/>
        <v>1.55294117517827-1682.27418934466i</v>
      </c>
      <c r="P173" s="81">
        <f t="shared" si="54"/>
        <v>64.517939335248712</v>
      </c>
      <c r="Q173" s="81">
        <f t="shared" si="55"/>
        <v>-89.947109127358999</v>
      </c>
      <c r="R173" s="81" t="str">
        <f t="shared" si="56"/>
        <v>112.59833278309-14.9573280553009i</v>
      </c>
      <c r="S173" s="81">
        <f t="shared" si="57"/>
        <v>41.106606126158177</v>
      </c>
      <c r="T173" s="81">
        <f t="shared" si="58"/>
        <v>-7.5667521434545408</v>
      </c>
      <c r="U173" s="81" t="str">
        <f>IMPRODUCT(COMPLEX(-1,0),IMDIV(COMPLEX(1,C173*Calculations!$B$248*Calculations!$B$250),IMPRODUCT(COMPLEX(0,C173*Calculations!$B$237),COMPLEX((Calculations!$B$250+Calculations!$B$252),C173*Calculations!$B$248*Calculations!$B$250*Calculations!$B$252))))</f>
        <v>-0.998002965560252+5.71419238328901i</v>
      </c>
      <c r="V173" s="81">
        <f t="shared" si="59"/>
        <v>15.269593135851123</v>
      </c>
      <c r="W173" s="81">
        <f t="shared" si="60"/>
        <v>99.90697417696822</v>
      </c>
      <c r="X173" s="81">
        <f>Calculations!$B$216/(Calculations!$B$216+Calculations!$B$218)</f>
        <v>0.6875</v>
      </c>
      <c r="Y173" s="81" t="str">
        <f t="shared" si="61"/>
        <v>-18.4967887408621+452.605995404903i</v>
      </c>
      <c r="Z173" s="81">
        <f t="shared" si="62"/>
        <v>53.121653312055308</v>
      </c>
      <c r="AA173" s="81">
        <f t="shared" si="63"/>
        <v>92.340222033513683</v>
      </c>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row>
    <row r="174" spans="2:94">
      <c r="B174" s="1">
        <v>3.5938136638046281</v>
      </c>
      <c r="C174" s="1">
        <f t="shared" si="44"/>
        <v>22.580597209158476</v>
      </c>
      <c r="D174" s="80" t="str">
        <f>IMDIV(COMPLEX((POWER(V48_Nom,2)/(V12_Min*Calculations!$B$28*np)),((Zo_Boost_Cout*Zo_Boost_Resr*POWER(V48_Nom,2))/(V12_Min*Calculations!$B$28*np))*C174),COMPLEX(1,((Zo_Boost_Cout*Zo_Boost_Resr)+((Zo_Boost_Cout*POWER(V48_Nom,2))/(V12_Min*Calculations!$B$28*np)))*C174))</f>
        <v>22.5742631483312-7.70946582135378i</v>
      </c>
      <c r="E174" s="1">
        <f t="shared" si="45"/>
        <v>27.551376210801504</v>
      </c>
      <c r="F174" s="1">
        <f t="shared" si="46"/>
        <v>-18.855842860288014</v>
      </c>
      <c r="G174" s="1" t="str">
        <f>IMDIV(IMSUM(COMPLEX(V48_Nom,0),IMPRODUCT(COMPLEX(np*(Calculations!$B$28*(V12_Min/V48_Nom)),0),D174)),IMSUM(IMPRODUCT(COMPLEX(((V12_Min/V48_Nom)^2),0),D174),COMPLEX(Rcs/np,(Lm*C174)/np)))</f>
        <v>131.948612322142+22.4635190590945i</v>
      </c>
      <c r="H174" s="1">
        <f t="shared" si="50"/>
        <v>42.532179272001457</v>
      </c>
      <c r="I174" s="1">
        <f t="shared" si="51"/>
        <v>9.6616573698454626</v>
      </c>
      <c r="J174" s="82" t="str">
        <f>IMPRODUCT(COMPLEX(-1,0),IMDIV(IMSUM(IMSUB(IMPRODUCT(COMPLEX((1-(V12_Min/V48_Nom))*V48_Nom,0),D174),IMPRODUCT(COMPLEX(V48_Nom,0),D174)),IMPRODUCT(COMPLEX(0,Calculations!$B$28*Lm*C174),D174)),IMSUM(IMPRODUCT(COMPLEX(((V12_Min/V48_Nom)^2),0),D174),COMPLEX(Rcs/np,(Lm*C174)/np))))</f>
        <v>302.349238887025-0.242124327627906i</v>
      </c>
      <c r="K174" s="81">
        <f t="shared" si="52"/>
        <v>49.610180378727279</v>
      </c>
      <c r="L174" s="81">
        <f t="shared" si="53"/>
        <v>-4.5883029757518061E-2</v>
      </c>
      <c r="M174" s="1">
        <f t="shared" si="47"/>
        <v>0.58181818181818179</v>
      </c>
      <c r="N174" s="81">
        <f t="shared" si="48"/>
        <v>0.02</v>
      </c>
      <c r="O174" s="81" t="str">
        <f t="shared" si="49"/>
        <v>1.55294117431486-1302.52383229503i</v>
      </c>
      <c r="P174" s="81">
        <f t="shared" si="54"/>
        <v>62.295719740092686</v>
      </c>
      <c r="Q174" s="81">
        <f t="shared" si="55"/>
        <v>-89.931688825375176</v>
      </c>
      <c r="R174" s="81" t="str">
        <f t="shared" si="56"/>
        <v>111.31000343374-19.0973062823349i</v>
      </c>
      <c r="S174" s="81">
        <f t="shared" si="57"/>
        <v>41.056676593832734</v>
      </c>
      <c r="T174" s="81">
        <f t="shared" si="58"/>
        <v>-9.7353747813661453</v>
      </c>
      <c r="U174" s="81" t="str">
        <f>IMPRODUCT(COMPLEX(-1,0),IMDIV(COMPLEX(1,C174*Calculations!$B$248*Calculations!$B$250),IMPRODUCT(COMPLEX(0,C174*Calculations!$B$237),COMPLEX((Calculations!$B$250+Calculations!$B$252),C174*Calculations!$B$248*Calculations!$B$250*Calculations!$B$252))))</f>
        <v>-0.998002945220102+4.42438180629981i</v>
      </c>
      <c r="V174" s="81">
        <f t="shared" si="59"/>
        <v>13.132588717413382</v>
      </c>
      <c r="W174" s="81">
        <f t="shared" si="60"/>
        <v>102.71140473962949</v>
      </c>
      <c r="X174" s="81">
        <f>Calculations!$B$216/(Calculations!$B$216+Calculations!$B$218)</f>
        <v>0.6875</v>
      </c>
      <c r="Y174" s="81" t="str">
        <f t="shared" si="61"/>
        <v>-18.2833315461738+351.681771352277i</v>
      </c>
      <c r="Z174" s="81">
        <f t="shared" si="62"/>
        <v>50.93471936129211</v>
      </c>
      <c r="AA174" s="81">
        <f t="shared" si="63"/>
        <v>92.976029958263339</v>
      </c>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row>
    <row r="175" spans="2:94">
      <c r="B175" s="1">
        <v>4.6415888336127793</v>
      </c>
      <c r="C175" s="1">
        <f t="shared" si="44"/>
        <v>29.163962761324647</v>
      </c>
      <c r="D175" s="80" t="str">
        <f>IMDIV(COMPLEX((POWER(V48_Nom,2)/(V12_Min*Calculations!$B$28*np)),((Zo_Boost_Cout*Zo_Boost_Resr*POWER(V48_Nom,2))/(V12_Min*Calculations!$B$28*np))*C175),COMPLEX(1,((Zo_Boost_Cout*Zo_Boost_Resr)+((Zo_Boost_Cout*POWER(V48_Nom,2))/(V12_Min*Calculations!$B$28*np)))*C175))</f>
        <v>21.1012720136496-9.30715658814238i</v>
      </c>
      <c r="E175" s="1">
        <f t="shared" si="45"/>
        <v>27.258192486459116</v>
      </c>
      <c r="F175" s="1">
        <f t="shared" si="46"/>
        <v>-23.800879043866367</v>
      </c>
      <c r="G175" s="1" t="str">
        <f>IMDIV(IMSUM(COMPLEX(V48_Nom,0),IMPRODUCT(COMPLEX(np*(Calculations!$B$28*(V12_Min/V48_Nom)),0),D175)),IMSUM(IMPRODUCT(COMPLEX(((V12_Min/V48_Nom)^2),0),D175),COMPLEX(Rcs/np,(Lm*C175)/np)))</f>
        <v>131.967166784185+29.0147083533129i</v>
      </c>
      <c r="H175" s="1">
        <f t="shared" si="50"/>
        <v>42.614338498238816</v>
      </c>
      <c r="I175" s="1">
        <f t="shared" si="51"/>
        <v>12.399935791146186</v>
      </c>
      <c r="J175" s="82" t="str">
        <f>IMPRODUCT(COMPLEX(-1,0),IMDIV(IMSUM(IMSUB(IMPRODUCT(COMPLEX((1-(V12_Min/V48_Nom))*V48_Nom,0),D175),IMPRODUCT(COMPLEX(V48_Nom,0),D175)),IMPRODUCT(COMPLEX(0,Calculations!$B$28*Lm*C175),D175)),IMSUM(IMPRODUCT(COMPLEX(((V12_Min/V48_Nom)^2),0),D175),COMPLEX(Rcs/np,(Lm*C175)/np))))</f>
        <v>302.369706284844-0.312753734304814i</v>
      </c>
      <c r="K175" s="81">
        <f t="shared" si="52"/>
        <v>49.610770207519217</v>
      </c>
      <c r="L175" s="81">
        <f t="shared" si="53"/>
        <v>-5.9263419051913555E-2</v>
      </c>
      <c r="M175" s="1">
        <f t="shared" si="47"/>
        <v>0.58181818181818179</v>
      </c>
      <c r="N175" s="81">
        <f t="shared" si="48"/>
        <v>0.02</v>
      </c>
      <c r="O175" s="81" t="str">
        <f t="shared" si="49"/>
        <v>1.55294117287463-1008.49692910257i</v>
      </c>
      <c r="P175" s="81">
        <f t="shared" si="54"/>
        <v>60.073501900077446</v>
      </c>
      <c r="Q175" s="81">
        <f t="shared" si="55"/>
        <v>-89.911772755926108</v>
      </c>
      <c r="R175" s="81" t="str">
        <f t="shared" si="56"/>
        <v>109.22525932796-24.2036036059472i</v>
      </c>
      <c r="S175" s="81">
        <f t="shared" si="57"/>
        <v>40.974645725835337</v>
      </c>
      <c r="T175" s="81">
        <f t="shared" si="58"/>
        <v>-12.494473269960103</v>
      </c>
      <c r="U175" s="81" t="str">
        <f>IMPRODUCT(COMPLEX(-1,0),IMDIV(COMPLEX(1,C175*Calculations!$B$248*Calculations!$B$250),IMPRODUCT(COMPLEX(0,C175*Calculations!$B$237),COMPLEX((Calculations!$B$250+Calculations!$B$252),C175*Calculations!$B$248*Calculations!$B$250*Calculations!$B$252))))</f>
        <v>-0.998002911290699+3.42575460746225i</v>
      </c>
      <c r="V175" s="81">
        <f t="shared" si="59"/>
        <v>11.048899593055086</v>
      </c>
      <c r="W175" s="81">
        <f t="shared" si="60"/>
        <v>106.24208390712376</v>
      </c>
      <c r="X175" s="81">
        <f>Calculations!$B$216/(Calculations!$B$216+Calculations!$B$218)</f>
        <v>0.6875</v>
      </c>
      <c r="Y175" s="81" t="str">
        <f t="shared" si="61"/>
        <v>-17.9379201550464+273.854764051329i</v>
      </c>
      <c r="Z175" s="81">
        <f t="shared" si="62"/>
        <v>48.768999368936406</v>
      </c>
      <c r="AA175" s="81">
        <f t="shared" si="63"/>
        <v>93.74761063716366</v>
      </c>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row>
    <row r="176" spans="2:94">
      <c r="B176" s="1">
        <v>5.9948425031894104</v>
      </c>
      <c r="C176" s="1">
        <f t="shared" si="44"/>
        <v>37.666706334895395</v>
      </c>
      <c r="D176" s="80" t="str">
        <f>IMDIV(COMPLEX((POWER(V48_Nom,2)/(V12_Min*Calculations!$B$28*np)),((Zo_Boost_Cout*Zo_Boost_Resr*POWER(V48_Nom,2))/(V12_Min*Calculations!$B$28*np))*C176),COMPLEX(1,((Zo_Boost_Cout*Zo_Boost_Resr)+((Zo_Boost_Cout*POWER(V48_Nom,2))/(V12_Min*Calculations!$B$28*np)))*C176))</f>
        <v>19.030109287955-10.8402269832096i</v>
      </c>
      <c r="E176" s="1">
        <f t="shared" si="45"/>
        <v>26.809295016401173</v>
      </c>
      <c r="F176" s="1">
        <f t="shared" si="46"/>
        <v>-29.667377418757813</v>
      </c>
      <c r="G176" s="1" t="str">
        <f>IMDIV(IMSUM(COMPLEX(V48_Nom,0),IMPRODUCT(COMPLEX(np*(Calculations!$B$28*(V12_Min/V48_Nom)),0),D176)),IMSUM(IMPRODUCT(COMPLEX(((V12_Min/V48_Nom)^2),0),D176),COMPLEX(Rcs/np,(Lm*C176)/np)))</f>
        <v>131.998125987215+37.4781556436442i</v>
      </c>
      <c r="H176" s="1">
        <f t="shared" si="50"/>
        <v>42.748068979598088</v>
      </c>
      <c r="I176" s="1">
        <f t="shared" si="51"/>
        <v>15.850805974288338</v>
      </c>
      <c r="J176" s="82" t="str">
        <f>IMPRODUCT(COMPLEX(-1,0),IMDIV(IMSUM(IMSUB(IMPRODUCT(COMPLEX((1-(V12_Min/V48_Nom))*V48_Nom,0),D176),IMPRODUCT(COMPLEX(V48_Nom,0),D176)),IMPRODUCT(COMPLEX(0,Calculations!$B$28*Lm*C176),D176)),IMSUM(IMPRODUCT(COMPLEX(((V12_Min/V48_Nom)^2),0),D176),COMPLEX(Rcs/np,(Lm*C176)/np))))</f>
        <v>302.403854101961-0.404019172499269i</v>
      </c>
      <c r="K176" s="81">
        <f t="shared" si="52"/>
        <v>49.611754189932839</v>
      </c>
      <c r="L176" s="81">
        <f t="shared" si="53"/>
        <v>-7.6548560276138239E-2</v>
      </c>
      <c r="M176" s="1">
        <f t="shared" si="47"/>
        <v>0.58181818181818179</v>
      </c>
      <c r="N176" s="81">
        <f t="shared" si="48"/>
        <v>0.02</v>
      </c>
      <c r="O176" s="81" t="str">
        <f t="shared" si="49"/>
        <v>1.55294117047215-780.842584955501i</v>
      </c>
      <c r="P176" s="81">
        <f t="shared" si="54"/>
        <v>57.851286987807214</v>
      </c>
      <c r="Q176" s="81">
        <f t="shared" si="55"/>
        <v>-89.886050198460524</v>
      </c>
      <c r="R176" s="81" t="str">
        <f t="shared" si="56"/>
        <v>105.916056051514-30.3139876145178i</v>
      </c>
      <c r="S176" s="81">
        <f t="shared" si="57"/>
        <v>40.841166754631359</v>
      </c>
      <c r="T176" s="81">
        <f t="shared" si="58"/>
        <v>-15.971527831701023</v>
      </c>
      <c r="U176" s="81" t="str">
        <f>IMPRODUCT(COMPLEX(-1,0),IMDIV(COMPLEX(1,C176*Calculations!$B$248*Calculations!$B$250),IMPRODUCT(COMPLEX(0,C176*Calculations!$B$237),COMPLEX((Calculations!$B$250+Calculations!$B$252),C176*Calculations!$B$248*Calculations!$B$250*Calculations!$B$252))))</f>
        <v>-0.998002854693034+2.65258778771313i</v>
      </c>
      <c r="V176" s="81">
        <f t="shared" si="59"/>
        <v>9.0483622611252557</v>
      </c>
      <c r="W176" s="81">
        <f t="shared" si="60"/>
        <v>110.6181792039278</v>
      </c>
      <c r="X176" s="81">
        <f>Calculations!$B$216/(Calculations!$B$216+Calculations!$B$218)</f>
        <v>0.6875</v>
      </c>
      <c r="Y176" s="81" t="str">
        <f t="shared" si="61"/>
        <v>-17.389633905931+213.953494549715i</v>
      </c>
      <c r="Z176" s="81">
        <f t="shared" si="62"/>
        <v>46.634983065802622</v>
      </c>
      <c r="AA176" s="81">
        <f t="shared" si="63"/>
        <v>94.646651372226785</v>
      </c>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row>
    <row r="177" spans="2:94">
      <c r="B177" s="1">
        <v>7.7426368268112711</v>
      </c>
      <c r="C177" s="1">
        <f t="shared" si="44"/>
        <v>48.648421949048156</v>
      </c>
      <c r="D177" s="80" t="str">
        <f>IMDIV(COMPLEX((POWER(V48_Nom,2)/(V12_Min*Calculations!$B$28*np)),((Zo_Boost_Cout*Zo_Boost_Resr*POWER(V48_Nom,2))/(V12_Min*Calculations!$B$28*np))*C177),COMPLEX(1,((Zo_Boost_Cout*Zo_Boost_Resr)+((Zo_Boost_Cout*POWER(V48_Nom,2))/(V12_Min*Calculations!$B$28*np)))*C177))</f>
        <v>16.3530033123978-12.030075767807i</v>
      </c>
      <c r="E177" s="1">
        <f t="shared" si="45"/>
        <v>26.15048391992655</v>
      </c>
      <c r="F177" s="1">
        <f t="shared" si="46"/>
        <v>-36.340033397925481</v>
      </c>
      <c r="G177" s="1" t="str">
        <f>IMDIV(IMSUM(COMPLEX(V48_Nom,0),IMPRODUCT(COMPLEX(np*(Calculations!$B$28*(V12_Min/V48_Nom)),0),D177)),IMSUM(IMPRODUCT(COMPLEX(((V12_Min/V48_Nom)^2),0),D177),COMPLEX(Rcs/np,(Lm*C177)/np)))</f>
        <v>132.049792699765+48.4139911926412i</v>
      </c>
      <c r="H177" s="1">
        <f t="shared" si="50"/>
        <v>42.962496106473118</v>
      </c>
      <c r="I177" s="1">
        <f t="shared" si="51"/>
        <v>20.134671728081461</v>
      </c>
      <c r="J177" s="82" t="str">
        <f>IMPRODUCT(COMPLEX(-1,0),IMDIV(IMSUM(IMSUB(IMPRODUCT(COMPLEX((1-(V12_Min/V48_Nom))*V48_Nom,0),D177),IMPRODUCT(COMPLEX(V48_Nom,0),D177)),IMPRODUCT(COMPLEX(0,Calculations!$B$28*Lm*C177),D177)),IMSUM(IMPRODUCT(COMPLEX(((V12_Min/V48_Nom)^2),0),D177),COMPLEX(Rcs/np,(Lm*C177)/np))))</f>
        <v>302.460833184714-0.521987980717559i</v>
      </c>
      <c r="K177" s="81">
        <f t="shared" si="52"/>
        <v>49.613395818368531</v>
      </c>
      <c r="L177" s="81">
        <f t="shared" si="53"/>
        <v>-9.8881161717586041E-2</v>
      </c>
      <c r="M177" s="1">
        <f t="shared" si="47"/>
        <v>0.58181818181818179</v>
      </c>
      <c r="N177" s="81">
        <f t="shared" si="48"/>
        <v>0.02</v>
      </c>
      <c r="O177" s="81" t="str">
        <f t="shared" si="49"/>
        <v>1.55294116646459-604.578105347957i</v>
      </c>
      <c r="P177" s="81">
        <f t="shared" si="54"/>
        <v>55.62907695929237</v>
      </c>
      <c r="Q177" s="81">
        <f t="shared" si="55"/>
        <v>-89.852828314162494</v>
      </c>
      <c r="R177" s="81" t="str">
        <f t="shared" si="56"/>
        <v>100.820336355514-37.2702715884106i</v>
      </c>
      <c r="S177" s="81">
        <f t="shared" si="57"/>
        <v>40.627253479476764</v>
      </c>
      <c r="T177" s="81">
        <f t="shared" si="58"/>
        <v>-20.287850002945287</v>
      </c>
      <c r="U177" s="81" t="str">
        <f>IMPRODUCT(COMPLEX(-1,0),IMDIV(COMPLEX(1,C177*Calculations!$B$248*Calculations!$B$250),IMPRODUCT(COMPLEX(0,C177*Calculations!$B$237),COMPLEX((Calculations!$B$250+Calculations!$B$252),C177*Calculations!$B$248*Calculations!$B$250*Calculations!$B$252))))</f>
        <v>-0.998002760282458+2.05399665030158i</v>
      </c>
      <c r="V177" s="81">
        <f t="shared" si="59"/>
        <v>7.1724696333692197</v>
      </c>
      <c r="W177" s="81">
        <f t="shared" si="60"/>
        <v>115.91434481346599</v>
      </c>
      <c r="X177" s="81">
        <f>Calculations!$B$216/(Calculations!$B$216+Calculations!$B$218)</f>
        <v>0.6875</v>
      </c>
      <c r="Y177" s="81" t="str">
        <f t="shared" si="61"/>
        <v>-16.545348171676+167.942821116273i</v>
      </c>
      <c r="Z177" s="81">
        <f t="shared" si="62"/>
        <v>44.545177162892003</v>
      </c>
      <c r="AA177" s="81">
        <f t="shared" si="63"/>
        <v>95.626494810520668</v>
      </c>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row>
    <row r="178" spans="2:94">
      <c r="B178" s="1">
        <v>10</v>
      </c>
      <c r="C178" s="1">
        <f t="shared" si="44"/>
        <v>62.831853071795862</v>
      </c>
      <c r="D178" s="80" t="str">
        <f>IMDIV(COMPLEX((POWER(V48_Nom,2)/(V12_Min*Calculations!$B$28*np)),((Zo_Boost_Cout*Zo_Boost_Resr*POWER(V48_Nom,2))/(V12_Min*Calculations!$B$28*np))*C178),COMPLEX(1,((Zo_Boost_Cout*Zo_Boost_Resr)+((Zo_Boost_Cout*POWER(V48_Nom,2))/(V12_Min*Calculations!$B$28*np)))*C178))</f>
        <v>13.2454793164341-12.5830900157045i</v>
      </c>
      <c r="E178" s="1">
        <f t="shared" si="45"/>
        <v>25.234562464101394</v>
      </c>
      <c r="F178" s="1">
        <f t="shared" si="46"/>
        <v>-43.530937049229038</v>
      </c>
      <c r="G178" s="1" t="str">
        <f>IMDIV(IMSUM(COMPLEX(V48_Nom,0),IMPRODUCT(COMPLEX(np*(Calculations!$B$28*(V12_Min/V48_Nom)),0),D178)),IMSUM(IMPRODUCT(COMPLEX(((V12_Min/V48_Nom)^2),0),D178),COMPLEX(Rcs/np,(Lm*C178)/np)))</f>
        <v>132.136043830784+62.548671630739i</v>
      </c>
      <c r="H178" s="1">
        <f t="shared" si="50"/>
        <v>43.29850660240546</v>
      </c>
      <c r="I178" s="1">
        <f t="shared" si="51"/>
        <v>25.331269391678493</v>
      </c>
      <c r="J178" s="82" t="str">
        <f>IMPRODUCT(COMPLEX(-1,0),IMDIV(IMSUM(IMSUB(IMPRODUCT(COMPLEX((1-(V12_Min/V48_Nom))*V48_Nom,0),D178),IMPRODUCT(COMPLEX(V48_Nom,0),D178)),IMPRODUCT(COMPLEX(0,Calculations!$B$28*Lm*C178),D178)),IMSUM(IMPRODUCT(COMPLEX(((V12_Min/V48_Nom)^2),0),D178),COMPLEX(Rcs/np,(Lm*C178)/np))))</f>
        <v>302.555927608052-0.674555345363465i</v>
      </c>
      <c r="K178" s="81">
        <f t="shared" si="52"/>
        <v>49.616134906777596</v>
      </c>
      <c r="L178" s="81">
        <f t="shared" si="53"/>
        <v>-0.12774203633792536</v>
      </c>
      <c r="M178" s="1">
        <f t="shared" si="47"/>
        <v>0.58181818181818179</v>
      </c>
      <c r="N178" s="81">
        <f t="shared" si="48"/>
        <v>0.02</v>
      </c>
      <c r="O178" s="81" t="str">
        <f t="shared" si="49"/>
        <v>1.55294115977958-468.102934797074i</v>
      </c>
      <c r="P178" s="81">
        <f t="shared" si="54"/>
        <v>53.406875077323654</v>
      </c>
      <c r="Q178" s="81">
        <f t="shared" si="55"/>
        <v>-89.809920764750018</v>
      </c>
      <c r="R178" s="81" t="str">
        <f t="shared" si="56"/>
        <v>93.329298113519-44.5636021114682i</v>
      </c>
      <c r="S178" s="81">
        <f t="shared" si="57"/>
        <v>40.292324593448285</v>
      </c>
      <c r="T178" s="81">
        <f t="shared" si="58"/>
        <v>-25.523906571107421</v>
      </c>
      <c r="U178" s="81" t="str">
        <f>IMPRODUCT(COMPLEX(-1,0),IMDIV(COMPLEX(1,C178*Calculations!$B$248*Calculations!$B$250),IMPRODUCT(COMPLEX(0,C178*Calculations!$B$237),COMPLEX((Calculations!$B$250+Calculations!$B$252),C178*Calculations!$B$248*Calculations!$B$250*Calculations!$B$252))))</f>
        <v>-0.998002602796169+1.59058590853945i</v>
      </c>
      <c r="V178" s="81">
        <f t="shared" si="59"/>
        <v>5.4727894883549508</v>
      </c>
      <c r="W178" s="81">
        <f t="shared" si="60"/>
        <v>122.10594360410133</v>
      </c>
      <c r="X178" s="81">
        <f>Calculations!$B$216/(Calculations!$B$216+Calculations!$B$218)</f>
        <v>0.6875</v>
      </c>
      <c r="Y178" s="81" t="str">
        <f t="shared" si="61"/>
        <v>-15.3041933564928+132.634464414691i</v>
      </c>
      <c r="Z178" s="81">
        <f t="shared" si="62"/>
        <v>42.510568131849276</v>
      </c>
      <c r="AA178" s="81">
        <f t="shared" si="63"/>
        <v>96.582037032993867</v>
      </c>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row>
    <row r="179" spans="2:94">
      <c r="B179" s="1">
        <v>12.915496650148844</v>
      </c>
      <c r="C179" s="1">
        <f t="shared" si="44"/>
        <v>81.150458787142384</v>
      </c>
      <c r="D179" s="80" t="str">
        <f>IMDIV(COMPLEX((POWER(V48_Nom,2)/(V12_Min*Calculations!$B$28*np)),((Zo_Boost_Cout*Zo_Boost_Resr*POWER(V48_Nom,2))/(V12_Min*Calculations!$B$28*np))*C179),COMPLEX(1,((Zo_Boost_Cout*Zo_Boost_Resr)+((Zo_Boost_Cout*POWER(V48_Nom,2))/(V12_Min*Calculations!$B$28*np)))*C179))</f>
        <v>10.0583501165497-12.3382492962887i</v>
      </c>
      <c r="E179" s="1">
        <f t="shared" si="45"/>
        <v>24.038114140928414</v>
      </c>
      <c r="F179" s="1">
        <f t="shared" si="46"/>
        <v>-50.812497135383133</v>
      </c>
      <c r="G179" s="1" t="str">
        <f>IMDIV(IMSUM(COMPLEX(V48_Nom,0),IMPRODUCT(COMPLEX(np*(Calculations!$B$28*(V12_Min/V48_Nom)),0),D179)),IMSUM(IMPRODUCT(COMPLEX(((V12_Min/V48_Nom)^2),0),D179),COMPLEX(Rcs/np,(Lm*C179)/np)))</f>
        <v>132.280102900948+80.826972657105i</v>
      </c>
      <c r="H179" s="1">
        <f t="shared" si="50"/>
        <v>43.807722976389989</v>
      </c>
      <c r="I179" s="1">
        <f t="shared" si="51"/>
        <v>31.42613810431844</v>
      </c>
      <c r="J179" s="82" t="str">
        <f>IMPRODUCT(COMPLEX(-1,0),IMDIV(IMSUM(IMSUB(IMPRODUCT(COMPLEX((1-(V12_Min/V48_Nom))*V48_Nom,0),D179),IMPRODUCT(COMPLEX(V48_Nom,0),D179)),IMPRODUCT(COMPLEX(0,Calculations!$B$28*Lm*C179),D179)),IMSUM(IMPRODUCT(COMPLEX(((V12_Min/V48_Nom)^2),0),D179),COMPLEX(Rcs/np,(Lm*C179)/np))))</f>
        <v>302.71468720918-0.872045601389601i</v>
      </c>
      <c r="K179" s="81">
        <f t="shared" si="52"/>
        <v>49.620705894918132</v>
      </c>
      <c r="L179" s="81">
        <f t="shared" si="53"/>
        <v>-0.16505441063965232</v>
      </c>
      <c r="M179" s="1">
        <f t="shared" si="47"/>
        <v>0.58181818181818179</v>
      </c>
      <c r="N179" s="81">
        <f t="shared" si="48"/>
        <v>0.02</v>
      </c>
      <c r="O179" s="81" t="str">
        <f t="shared" si="49"/>
        <v>1.55294114862831-362.435185451512i</v>
      </c>
      <c r="P179" s="81">
        <f t="shared" si="54"/>
        <v>51.184686784476838</v>
      </c>
      <c r="Q179" s="81">
        <f t="shared" si="55"/>
        <v>-89.754503887270232</v>
      </c>
      <c r="R179" s="81" t="str">
        <f t="shared" si="56"/>
        <v>83.0354764019669-51.2151455428134i</v>
      </c>
      <c r="S179" s="81">
        <f t="shared" si="57"/>
        <v>39.785402922478156</v>
      </c>
      <c r="T179" s="81">
        <f t="shared" si="58"/>
        <v>-31.66571749166123</v>
      </c>
      <c r="U179" s="81" t="str">
        <f>IMPRODUCT(COMPLEX(-1,0),IMDIV(COMPLEX(1,C179*Calculations!$B$248*Calculations!$B$250),IMPRODUCT(COMPLEX(0,C179*Calculations!$B$237),COMPLEX((Calculations!$B$250+Calculations!$B$252),C179*Calculations!$B$248*Calculations!$B$250*Calculations!$B$252))))</f>
        <v>-0.998002340093316+1.23185695007997i</v>
      </c>
      <c r="V179" s="81">
        <f t="shared" si="59"/>
        <v>4.0027547122751033</v>
      </c>
      <c r="W179" s="81">
        <f t="shared" si="60"/>
        <v>129.01303887428446</v>
      </c>
      <c r="X179" s="81">
        <f>Calculations!$B$216/(Calculations!$B$216+Calculations!$B$218)</f>
        <v>0.6875</v>
      </c>
      <c r="Y179" s="81" t="str">
        <f t="shared" si="61"/>
        <v>-13.5986584068874+105.462956368627i</v>
      </c>
      <c r="Z179" s="81">
        <f t="shared" si="62"/>
        <v>40.533611684799276</v>
      </c>
      <c r="AA179" s="81">
        <f t="shared" si="63"/>
        <v>97.347321382623221</v>
      </c>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row>
    <row r="180" spans="2:94">
      <c r="B180" s="1">
        <v>16.681005372000598</v>
      </c>
      <c r="C180" s="1">
        <f t="shared" si="44"/>
        <v>104.8098478623379</v>
      </c>
      <c r="D180" s="80" t="str">
        <f>IMDIV(COMPLEX((POWER(V48_Nom,2)/(V12_Min*Calculations!$B$28*np)),((Zo_Boost_Cout*Zo_Boost_Resr*POWER(V48_Nom,2))/(V12_Min*Calculations!$B$28*np))*C180),COMPLEX(1,((Zo_Boost_Cout*Zo_Boost_Resr)+((Zo_Boost_Cout*POWER(V48_Nom,2))/(V12_Min*Calculations!$B$28*np)))*C180))</f>
        <v>7.17878036571309-11.3688159810374i</v>
      </c>
      <c r="E180" s="1">
        <f t="shared" si="45"/>
        <v>22.571620677073589</v>
      </c>
      <c r="F180" s="1">
        <f t="shared" si="46"/>
        <v>-57.729848144155469</v>
      </c>
      <c r="G180" s="1" t="str">
        <f>IMDIV(IMSUM(COMPLEX(V48_Nom,0),IMPRODUCT(COMPLEX(np*(Calculations!$B$28*(V12_Min/V48_Nom)),0),D180)),IMSUM(IMPRODUCT(COMPLEX(((V12_Min/V48_Nom)^2),0),D180),COMPLEX(Rcs/np,(Lm*C180)/np)))</f>
        <v>132.52091972229+104.483215545633i</v>
      </c>
      <c r="H180" s="1">
        <f t="shared" si="50"/>
        <v>44.545176672483457</v>
      </c>
      <c r="I180" s="1">
        <f t="shared" si="51"/>
        <v>38.253238535106647</v>
      </c>
      <c r="J180" s="82" t="str">
        <f>IMPRODUCT(COMPLEX(-1,0),IMDIV(IMSUM(IMSUB(IMPRODUCT(COMPLEX((1-(V12_Min/V48_Nom))*V48_Nom,0),D180),IMPRODUCT(COMPLEX(V48_Nom,0),D180)),IMPRODUCT(COMPLEX(0,Calculations!$B$28*Lm*C180),D180)),IMSUM(IMPRODUCT(COMPLEX(((V12_Min/V48_Nom)^2),0),D180),COMPLEX(Rcs/np,(Lm*C180)/np))))</f>
        <v>302.979883619881-1.12806877621791i</v>
      </c>
      <c r="K180" s="81">
        <f t="shared" si="52"/>
        <v>49.628336092600122</v>
      </c>
      <c r="L180" s="81">
        <f t="shared" si="53"/>
        <v>-0.21332532195096193</v>
      </c>
      <c r="M180" s="1">
        <f t="shared" si="47"/>
        <v>0.58181818181818179</v>
      </c>
      <c r="N180" s="81">
        <f t="shared" si="48"/>
        <v>0.02</v>
      </c>
      <c r="O180" s="81" t="str">
        <f t="shared" si="49"/>
        <v>1.55294113002686-280.620508983339i</v>
      </c>
      <c r="P180" s="81">
        <f t="shared" si="54"/>
        <v>48.962521159273074</v>
      </c>
      <c r="Q180" s="81">
        <f t="shared" si="55"/>
        <v>-89.68293099949976</v>
      </c>
      <c r="R180" s="81" t="str">
        <f t="shared" si="56"/>
        <v>70.1281859228267-55.8779896174949i</v>
      </c>
      <c r="S180" s="81">
        <f t="shared" si="57"/>
        <v>39.05272911606906</v>
      </c>
      <c r="T180" s="81">
        <f t="shared" si="58"/>
        <v>-38.547762545213196</v>
      </c>
      <c r="U180" s="81" t="str">
        <f>IMPRODUCT(COMPLEX(-1,0),IMDIV(COMPLEX(1,C180*Calculations!$B$248*Calculations!$B$250),IMPRODUCT(COMPLEX(0,C180*Calculations!$B$237),COMPLEX((Calculations!$B$250+Calculations!$B$252),C180*Calculations!$B$248*Calculations!$B$250*Calculations!$B$252))))</f>
        <v>-0.998001901878854+0.954200621093916i</v>
      </c>
      <c r="V180" s="81">
        <f t="shared" si="59"/>
        <v>2.8023831795174416</v>
      </c>
      <c r="W180" s="81">
        <f t="shared" si="60"/>
        <v>136.28532132187067</v>
      </c>
      <c r="X180" s="81">
        <f>Calculations!$B$216/(Calculations!$B$216+Calculations!$B$218)</f>
        <v>0.6875</v>
      </c>
      <c r="Y180" s="81" t="str">
        <f t="shared" si="61"/>
        <v>-11.4601097378638+84.3443552016849i</v>
      </c>
      <c r="Z180" s="81">
        <f t="shared" si="62"/>
        <v>38.600566345632529</v>
      </c>
      <c r="AA180" s="81">
        <f t="shared" si="63"/>
        <v>97.737558776657465</v>
      </c>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row>
    <row r="181" spans="2:94">
      <c r="B181" s="1">
        <v>21.544346900318843</v>
      </c>
      <c r="C181" s="1">
        <f t="shared" si="44"/>
        <v>135.3671238968634</v>
      </c>
      <c r="D181" s="80" t="str">
        <f>IMDIV(COMPLEX((POWER(V48_Nom,2)/(V12_Min*Calculations!$B$28*np)),((Zo_Boost_Cout*Zo_Boost_Resr*POWER(V48_Nom,2))/(V12_Min*Calculations!$B$28*np))*C181),COMPLEX(1,((Zo_Boost_Cout*Zo_Boost_Resr)+((Zo_Boost_Cout*POWER(V48_Nom,2))/(V12_Min*Calculations!$B$28*np)))*C181))</f>
        <v>4.86022621158077-9.93443522328939i</v>
      </c>
      <c r="E181" s="1">
        <f t="shared" si="45"/>
        <v>20.874790167457654</v>
      </c>
      <c r="F181" s="1">
        <f t="shared" si="46"/>
        <v>-63.930721293663929</v>
      </c>
      <c r="G181" s="1" t="str">
        <f>IMDIV(IMSUM(COMPLEX(V48_Nom,0),IMPRODUCT(COMPLEX(np*(Calculations!$B$28*(V12_Min/V48_Nom)),0),D181)),IMSUM(IMPRODUCT(COMPLEX(((V12_Min/V48_Nom)^2),0),D181),COMPLEX(Rcs/np,(Lm*C181)/np)))</f>
        <v>132.924056008185+135.14212984514i</v>
      </c>
      <c r="H181" s="1">
        <f t="shared" si="50"/>
        <v>45.554838074058921</v>
      </c>
      <c r="I181" s="1">
        <f t="shared" si="51"/>
        <v>45.474074598049718</v>
      </c>
      <c r="J181" s="82" t="str">
        <f>IMPRODUCT(COMPLEX(-1,0),IMDIV(IMSUM(IMSUB(IMPRODUCT(COMPLEX((1-(V12_Min/V48_Nom))*V48_Nom,0),D181),IMPRODUCT(COMPLEX(V48_Nom,0),D181)),IMPRODUCT(COMPLEX(0,Calculations!$B$28*Lm*C181),D181)),IMSUM(IMPRODUCT(COMPLEX(((V12_Min/V48_Nom)^2),0),D181),COMPLEX(Rcs/np,(Lm*C181)/np))))</f>
        <v>303.423288790903-1.46080163696933i</v>
      </c>
      <c r="K181" s="81">
        <f t="shared" si="52"/>
        <v>49.641078888415286</v>
      </c>
      <c r="L181" s="81">
        <f t="shared" si="53"/>
        <v>-0.27584277457648676</v>
      </c>
      <c r="M181" s="1">
        <f t="shared" si="47"/>
        <v>0.58181818181818179</v>
      </c>
      <c r="N181" s="81">
        <f t="shared" si="48"/>
        <v>0.02</v>
      </c>
      <c r="O181" s="81" t="str">
        <f t="shared" si="49"/>
        <v>1.55294109899779-217.274407643514i</v>
      </c>
      <c r="P181" s="81">
        <f t="shared" si="54"/>
        <v>46.740393344923447</v>
      </c>
      <c r="Q181" s="81">
        <f t="shared" si="55"/>
        <v>-89.590492701423415</v>
      </c>
      <c r="R181" s="81" t="str">
        <f t="shared" si="56"/>
        <v>55.6813415258009-57.3244271881586i</v>
      </c>
      <c r="S181" s="81">
        <f t="shared" si="57"/>
        <v>38.052630352813836</v>
      </c>
      <c r="T181" s="81">
        <f t="shared" si="58"/>
        <v>-45.833012700707577</v>
      </c>
      <c r="U181" s="81" t="str">
        <f>IMPRODUCT(COMPLEX(-1,0),IMDIV(COMPLEX(1,C181*Calculations!$B$248*Calculations!$B$250),IMPRODUCT(COMPLEX(0,C181*Calculations!$B$237),COMPLEX((Calculations!$B$250+Calculations!$B$252),C181*Calculations!$B$248*Calculations!$B$250*Calculations!$B$252))))</f>
        <v>-0.998001170893923+0.739343428722394i</v>
      </c>
      <c r="V181" s="81">
        <f t="shared" si="59"/>
        <v>1.8826319262915896</v>
      </c>
      <c r="W181" s="81">
        <f t="shared" si="60"/>
        <v>143.46805672781935</v>
      </c>
      <c r="X181" s="81">
        <f>Calculations!$B$216/(Calculations!$B$216+Calculations!$B$218)</f>
        <v>0.6875</v>
      </c>
      <c r="Y181" s="81" t="str">
        <f t="shared" si="61"/>
        <v>-9.06647877633664+67.6345170972309i</v>
      </c>
      <c r="Z181" s="81">
        <f t="shared" si="62"/>
        <v>36.68071632915143</v>
      </c>
      <c r="AA181" s="81">
        <f t="shared" si="63"/>
        <v>97.635044027111761</v>
      </c>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row>
    <row r="182" spans="2:94">
      <c r="B182" s="1">
        <v>27.825594022071257</v>
      </c>
      <c r="C182" s="1">
        <f t="shared" si="44"/>
        <v>174.83336352302226</v>
      </c>
      <c r="D182" s="80" t="str">
        <f>IMDIV(COMPLEX((POWER(V48_Nom,2)/(V12_Min*Calculations!$B$28*np)),((Zo_Boost_Cout*Zo_Boost_Resr*POWER(V48_Nom,2))/(V12_Min*Calculations!$B$28*np))*C182),COMPLEX(1,((Zo_Boost_Cout*Zo_Boost_Resr)+((Zo_Boost_Cout*POWER(V48_Nom,2))/(V12_Min*Calculations!$B$28*np)))*C182))</f>
        <v>3.16051268542545-8.33438816380457i</v>
      </c>
      <c r="E182" s="1">
        <f t="shared" si="45"/>
        <v>19.000986380315872</v>
      </c>
      <c r="F182" s="1">
        <f t="shared" si="46"/>
        <v>-69.232595268966861</v>
      </c>
      <c r="G182" s="1" t="str">
        <f>IMDIV(IMSUM(COMPLEX(V48_Nom,0),IMPRODUCT(COMPLEX(np*(Calculations!$B$28*(V12_Min/V48_Nom)),0),D182)),IMSUM(IMPRODUCT(COMPLEX(((V12_Min/V48_Nom)^2),0),D182),COMPLEX(Rcs/np,(Lm*C182)/np)))</f>
        <v>133.600531452667+174.968559458041i</v>
      </c>
      <c r="H182" s="1">
        <f t="shared" si="50"/>
        <v>46.854111801301734</v>
      </c>
      <c r="I182" s="1">
        <f t="shared" si="51"/>
        <v>52.635776193655552</v>
      </c>
      <c r="J182" s="82" t="str">
        <f>IMPRODUCT(COMPLEX(-1,0),IMDIV(IMSUM(IMSUB(IMPRODUCT(COMPLEX((1-(V12_Min/V48_Nom))*V48_Nom,0),D182),IMPRODUCT(COMPLEX(V48_Nom,0),D182)),IMPRODUCT(COMPLEX(0,Calculations!$B$28*Lm*C182),D182)),IMSUM(IMPRODUCT(COMPLEX(((V12_Min/V48_Nom)^2),0),D182),COMPLEX(Rcs/np,(Lm*C182)/np))))</f>
        <v>304.165815356264-1.89502811124874i</v>
      </c>
      <c r="K182" s="81">
        <f t="shared" si="52"/>
        <v>49.6623766301947</v>
      </c>
      <c r="L182" s="81">
        <f t="shared" si="53"/>
        <v>-0.35696223093496748</v>
      </c>
      <c r="M182" s="1">
        <f t="shared" si="47"/>
        <v>0.58181818181818179</v>
      </c>
      <c r="N182" s="81">
        <f t="shared" si="48"/>
        <v>0.02</v>
      </c>
      <c r="O182" s="81" t="str">
        <f t="shared" si="49"/>
        <v>1.55294104723817-168.227862439364i</v>
      </c>
      <c r="P182" s="81">
        <f t="shared" si="54"/>
        <v>44.518328599948845</v>
      </c>
      <c r="Q182" s="81">
        <f t="shared" si="55"/>
        <v>-89.471107584088159</v>
      </c>
      <c r="R182" s="81" t="str">
        <f t="shared" si="56"/>
        <v>41.4297093170348-55.1236593575521i</v>
      </c>
      <c r="S182" s="81">
        <f t="shared" si="57"/>
        <v>36.77154049964458</v>
      </c>
      <c r="T182" s="81">
        <f t="shared" si="58"/>
        <v>-53.07229552273143</v>
      </c>
      <c r="U182" s="81" t="str">
        <f>IMPRODUCT(COMPLEX(-1,0),IMDIV(COMPLEX(1,C182*Calculations!$B$248*Calculations!$B$250),IMPRODUCT(COMPLEX(0,C182*Calculations!$B$237),COMPLEX((Calculations!$B$250+Calculations!$B$252),C182*Calculations!$B$248*Calculations!$B$250*Calculations!$B$252))))</f>
        <v>-0.997999951539958+0.57314490112781i</v>
      </c>
      <c r="V182" s="81">
        <f t="shared" si="59"/>
        <v>1.2205162849772337</v>
      </c>
      <c r="W182" s="81">
        <f t="shared" si="60"/>
        <v>150.13152815464474</v>
      </c>
      <c r="X182" s="81">
        <f>Calculations!$B$216/(Calculations!$B$216+Calculations!$B$218)</f>
        <v>0.6875</v>
      </c>
      <c r="Y182" s="81" t="str">
        <f t="shared" si="61"/>
        <v>-6.70518997391924+54.146562262243i</v>
      </c>
      <c r="Z182" s="81">
        <f t="shared" si="62"/>
        <v>34.737510834667823</v>
      </c>
      <c r="AA182" s="81">
        <f t="shared" si="63"/>
        <v>97.059232631913304</v>
      </c>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row>
    <row r="183" spans="2:94">
      <c r="B183" s="1">
        <v>35.938136638046281</v>
      </c>
      <c r="C183" s="1">
        <f t="shared" si="44"/>
        <v>225.80597209158475</v>
      </c>
      <c r="D183" s="80" t="str">
        <f>IMDIV(COMPLEX((POWER(V48_Nom,2)/(V12_Min*Calculations!$B$28*np)),((Zo_Boost_Cout*Zo_Boost_Resr*POWER(V48_Nom,2))/(V12_Min*Calculations!$B$28*np))*C183),COMPLEX(1,((Zo_Boost_Cout*Zo_Boost_Resr)+((Zo_Boost_Cout*POWER(V48_Nom,2))/(V12_Min*Calculations!$B$28*np)))*C183))</f>
        <v>1.99824465339841-6.79318973379607i</v>
      </c>
      <c r="E183" s="1">
        <f t="shared" si="45"/>
        <v>17.001878674897142</v>
      </c>
      <c r="F183" s="1">
        <f t="shared" si="46"/>
        <v>-73.608537055804874</v>
      </c>
      <c r="G183" s="1" t="str">
        <f>IMDIV(IMSUM(COMPLEX(V48_Nom,0),IMPRODUCT(COMPLEX(np*(Calculations!$B$28*(V12_Min/V48_Nom)),0),D183)),IMSUM(IMPRODUCT(COMPLEX(((V12_Min/V48_Nom)^2),0),D183),COMPLEX(Rcs/np,(Lm*C183)/np)))</f>
        <v>134.740220862744+226.903884429498i</v>
      </c>
      <c r="H183" s="1">
        <f t="shared" si="50"/>
        <v>48.428606326224156</v>
      </c>
      <c r="I183" s="1">
        <f t="shared" si="51"/>
        <v>59.297283063305791</v>
      </c>
      <c r="J183" s="82" t="str">
        <f>IMPRODUCT(COMPLEX(-1,0),IMDIV(IMSUM(IMSUB(IMPRODUCT(COMPLEX((1-(V12_Min/V48_Nom))*V48_Nom,0),D183),IMPRODUCT(COMPLEX(V48_Nom,0),D183)),IMPRODUCT(COMPLEX(0,Calculations!$B$28*Lm*C183),D183)),IMSUM(IMPRODUCT(COMPLEX(((V12_Min/V48_Nom)^2),0),D183),COMPLEX(Rcs/np,(Lm*C183)/np))))</f>
        <v>305.412507936662-2.46564022977867i</v>
      </c>
      <c r="K183" s="81">
        <f t="shared" si="52"/>
        <v>49.698019430979315</v>
      </c>
      <c r="L183" s="81">
        <f t="shared" si="53"/>
        <v>-0.46254723127498826</v>
      </c>
      <c r="M183" s="1">
        <f t="shared" si="47"/>
        <v>0.58181818181818179</v>
      </c>
      <c r="N183" s="81">
        <f t="shared" si="48"/>
        <v>0.02</v>
      </c>
      <c r="O183" s="81" t="str">
        <f t="shared" si="49"/>
        <v>1.55294096089793-130.252956038073i</v>
      </c>
      <c r="P183" s="81">
        <f t="shared" si="54"/>
        <v>42.296369052878298</v>
      </c>
      <c r="Q183" s="81">
        <f t="shared" si="55"/>
        <v>-89.316923392365709</v>
      </c>
      <c r="R183" s="81" t="str">
        <f t="shared" si="56"/>
        <v>29.0187096475698-49.921918910392i</v>
      </c>
      <c r="S183" s="81">
        <f t="shared" si="57"/>
        <v>35.230025229308481</v>
      </c>
      <c r="T183" s="81">
        <f t="shared" si="58"/>
        <v>-59.831336716688405</v>
      </c>
      <c r="U183" s="81" t="str">
        <f>IMPRODUCT(COMPLEX(-1,0),IMDIV(COMPLEX(1,C183*Calculations!$B$248*Calculations!$B$250),IMPRODUCT(COMPLEX(0,C183*Calculations!$B$237),COMPLEX((Calculations!$B$250+Calculations!$B$252),C183*Calculations!$B$248*Calculations!$B$250*Calculations!$B$252))))</f>
        <v>-0.99799791754158+0.444666955251998i</v>
      </c>
      <c r="V183" s="81">
        <f t="shared" si="59"/>
        <v>0.76905578866590307</v>
      </c>
      <c r="W183" s="81">
        <f t="shared" si="60"/>
        <v>155.98420720496887</v>
      </c>
      <c r="X183" s="81">
        <f>Calculations!$B$216/(Calculations!$B$216+Calculations!$B$218)</f>
        <v>0.6875</v>
      </c>
      <c r="Y183" s="81" t="str">
        <f t="shared" si="61"/>
        <v>-4.64886407961062+43.123872258897i</v>
      </c>
      <c r="Z183" s="81">
        <f t="shared" si="62"/>
        <v>32.74453506802039</v>
      </c>
      <c r="AA183" s="81">
        <f t="shared" si="63"/>
        <v>96.152870488280485</v>
      </c>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row>
    <row r="184" spans="2:94">
      <c r="B184" s="1">
        <v>46.415888336127786</v>
      </c>
      <c r="C184" s="1">
        <f t="shared" si="44"/>
        <v>291.63962761324643</v>
      </c>
      <c r="D184" s="80" t="str">
        <f>IMDIV(COMPLEX((POWER(V48_Nom,2)/(V12_Min*Calculations!$B$28*np)),((Zo_Boost_Cout*Zo_Boost_Resr*POWER(V48_Nom,2))/(V12_Min*Calculations!$B$28*np))*C184),COMPLEX(1,((Zo_Boost_Cout*Zo_Boost_Resr)+((Zo_Boost_Cout*POWER(V48_Nom,2))/(V12_Min*Calculations!$B$28*np)))*C184))</f>
        <v>1.24081649903739-5.43136356734281i</v>
      </c>
      <c r="E184" s="1">
        <f t="shared" si="45"/>
        <v>14.919124191576451</v>
      </c>
      <c r="F184" s="1">
        <f t="shared" si="46"/>
        <v>-77.131395045565796</v>
      </c>
      <c r="G184" s="1" t="str">
        <f>IMDIV(IMSUM(COMPLEX(V48_Nom,0),IMPRODUCT(COMPLEX(np*(Calculations!$B$28*(V12_Min/V48_Nom)),0),D184)),IMSUM(IMPRODUCT(COMPLEX(((V12_Min/V48_Nom)^2),0),D184),COMPLEX(Rcs/np,(Lm*C184)/np)))</f>
        <v>136.673238078127+295.068566457066i</v>
      </c>
      <c r="H184" s="1">
        <f t="shared" si="50"/>
        <v>50.242599767368333</v>
      </c>
      <c r="I184" s="1">
        <f t="shared" si="51"/>
        <v>65.146831013814946</v>
      </c>
      <c r="J184" s="82" t="str">
        <f>IMPRODUCT(COMPLEX(-1,0),IMDIV(IMSUM(IMSUB(IMPRODUCT(COMPLEX((1-(V12_Min/V48_Nom))*V48_Nom,0),D184),IMPRODUCT(COMPLEX(V48_Nom,0),D184)),IMPRODUCT(COMPLEX(0,Calculations!$B$28*Lm*C184),D184)),IMSUM(IMPRODUCT(COMPLEX(((V12_Min/V48_Nom)^2),0),D184),COMPLEX(Rcs/np,(Lm*C184)/np))))</f>
        <v>307.514910308066-3.22415233902835i</v>
      </c>
      <c r="K184" s="81">
        <f t="shared" si="52"/>
        <v>49.757800934916943</v>
      </c>
      <c r="L184" s="81">
        <f t="shared" si="53"/>
        <v>-0.60069787488533133</v>
      </c>
      <c r="M184" s="1">
        <f t="shared" si="47"/>
        <v>0.58181818181818179</v>
      </c>
      <c r="N184" s="81">
        <f t="shared" si="48"/>
        <v>0.02</v>
      </c>
      <c r="O184" s="81" t="str">
        <f t="shared" si="49"/>
        <v>1.55294081687376-100.850432720905i</v>
      </c>
      <c r="P184" s="81">
        <f t="shared" si="54"/>
        <v>40.074584963801044</v>
      </c>
      <c r="Q184" s="81">
        <f t="shared" si="55"/>
        <v>-89.117803258477466</v>
      </c>
      <c r="R184" s="81" t="str">
        <f t="shared" si="56"/>
        <v>19.3309123554298-43.0300498081258i</v>
      </c>
      <c r="S184" s="81">
        <f t="shared" si="57"/>
        <v>33.473825879190635</v>
      </c>
      <c r="T184" s="81">
        <f t="shared" si="58"/>
        <v>-65.808374071364128</v>
      </c>
      <c r="U184" s="81" t="str">
        <f>IMPRODUCT(COMPLEX(-1,0),IMDIV(COMPLEX(1,C184*Calculations!$B$248*Calculations!$B$250),IMPRODUCT(COMPLEX(0,C184*Calculations!$B$237),COMPLEX((Calculations!$B$250+Calculations!$B$252),C184*Calculations!$B$248*Calculations!$B$250*Calculations!$B$252))))</f>
        <v>-0.997994524646249+0.345454023978531i</v>
      </c>
      <c r="V184" s="81">
        <f t="shared" si="59"/>
        <v>0.47403989023522808</v>
      </c>
      <c r="W184" s="81">
        <f t="shared" si="60"/>
        <v>160.90679608281351</v>
      </c>
      <c r="X184" s="81">
        <f>Calculations!$B$216/(Calculations!$B$216+Calculations!$B$218)</f>
        <v>0.6875</v>
      </c>
      <c r="Y184" s="81" t="str">
        <f t="shared" si="61"/>
        <v>-3.04372806988373+34.1149157003356i</v>
      </c>
      <c r="Z184" s="81">
        <f t="shared" si="62"/>
        <v>30.693319819471874</v>
      </c>
      <c r="AA184" s="81">
        <f t="shared" si="63"/>
        <v>95.098422011449387</v>
      </c>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row>
    <row r="185" spans="2:94">
      <c r="B185" s="1">
        <v>59.948425031894104</v>
      </c>
      <c r="C185" s="1">
        <f t="shared" si="44"/>
        <v>376.66706334895395</v>
      </c>
      <c r="D185" s="80" t="str">
        <f>IMDIV(COMPLEX((POWER(V48_Nom,2)/(V12_Min*Calculations!$B$28*np)),((Zo_Boost_Cout*Zo_Boost_Resr*POWER(V48_Nom,2))/(V12_Min*Calculations!$B$28*np))*C185),COMPLEX(1,((Zo_Boost_Cout*Zo_Boost_Resr)+((Zo_Boost_Cout*POWER(V48_Nom,2))/(V12_Min*Calculations!$B$28*np)))*C185))</f>
        <v>0.762576485570503-4.28921889299782i</v>
      </c>
      <c r="E185" s="1">
        <f t="shared" si="45"/>
        <v>12.782715319675127</v>
      </c>
      <c r="F185" s="1">
        <f t="shared" si="46"/>
        <v>-79.918771633248639</v>
      </c>
      <c r="G185" s="1" t="str">
        <f>IMDIV(IMSUM(COMPLEX(V48_Nom,0),IMPRODUCT(COMPLEX(np*(Calculations!$B$28*(V12_Min/V48_Nom)),0),D185)),IMSUM(IMPRODUCT(COMPLEX(((V12_Min/V48_Nom)^2),0),D185),COMPLEX(Rcs/np,(Lm*C185)/np)))</f>
        <v>139.98919127997+385.508015933636i</v>
      </c>
      <c r="H185" s="1">
        <f t="shared" si="50"/>
        <v>52.258605994396135</v>
      </c>
      <c r="I185" s="1">
        <f t="shared" si="51"/>
        <v>70.042565751437763</v>
      </c>
      <c r="J185" s="82" t="str">
        <f>IMPRODUCT(COMPLEX(-1,0),IMDIV(IMSUM(IMSUB(IMPRODUCT(COMPLEX((1-(V12_Min/V48_Nom))*V48_Nom,0),D185),IMPRODUCT(COMPLEX(V48_Nom,0),D185)),IMPRODUCT(COMPLEX(0,Calculations!$B$28*Lm*C185),D185)),IMSUM(IMPRODUCT(COMPLEX(((V12_Min/V48_Nom)^2),0),D185),COMPLEX(Rcs/np,(Lm*C185)/np))))</f>
        <v>311.0867842861-4.25189381850344i</v>
      </c>
      <c r="K185" s="81">
        <f t="shared" si="52"/>
        <v>49.858442465251365</v>
      </c>
      <c r="L185" s="81">
        <f t="shared" si="53"/>
        <v>-0.78306252385642261</v>
      </c>
      <c r="M185" s="1">
        <f t="shared" si="47"/>
        <v>0.58181818181818179</v>
      </c>
      <c r="N185" s="81">
        <f t="shared" si="48"/>
        <v>0.02</v>
      </c>
      <c r="O185" s="81" t="str">
        <f t="shared" si="49"/>
        <v>1.552940576627-78.0852139975954i</v>
      </c>
      <c r="P185" s="81">
        <f t="shared" si="54"/>
        <v>37.85309349318598</v>
      </c>
      <c r="Q185" s="81">
        <f t="shared" si="55"/>
        <v>-88.860665056977325</v>
      </c>
      <c r="R185" s="81" t="str">
        <f t="shared" si="56"/>
        <v>12.3948766743469-35.7439944717721i</v>
      </c>
      <c r="S185" s="81">
        <f t="shared" si="57"/>
        <v>31.557203875958187</v>
      </c>
      <c r="T185" s="81">
        <f t="shared" si="58"/>
        <v>-70.875086173548567</v>
      </c>
      <c r="U185" s="81" t="str">
        <f>IMPRODUCT(COMPLEX(-1,0),IMDIV(COMPLEX(1,C185*Calculations!$B$248*Calculations!$B$250),IMPRODUCT(COMPLEX(0,C185*Calculations!$B$237),COMPLEX((Calculations!$B$250+Calculations!$B$252),C185*Calculations!$B$248*Calculations!$B$250*Calculations!$B$252))))</f>
        <v>-0.997988865007056+0.268976564855152i</v>
      </c>
      <c r="V185" s="81">
        <f t="shared" si="59"/>
        <v>0.28705492016952894</v>
      </c>
      <c r="W185" s="81">
        <f t="shared" si="60"/>
        <v>164.9161358924932</v>
      </c>
      <c r="X185" s="81">
        <f>Calculations!$B$216/(Calculations!$B$216+Calculations!$B$218)</f>
        <v>0.6875</v>
      </c>
      <c r="Y185" s="81" t="str">
        <f t="shared" si="61"/>
        <v>-1.89451078912912+26.8166523785678i</v>
      </c>
      <c r="Z185" s="81">
        <f t="shared" si="62"/>
        <v>28.589712846173711</v>
      </c>
      <c r="AA185" s="81">
        <f t="shared" si="63"/>
        <v>94.041049718944649</v>
      </c>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row>
    <row r="186" spans="2:94">
      <c r="B186" s="1">
        <v>77.426368268112768</v>
      </c>
      <c r="C186" s="1">
        <f t="shared" si="44"/>
        <v>486.48421949048191</v>
      </c>
      <c r="D186" s="80" t="str">
        <f>IMDIV(COMPLEX((POWER(V48_Nom,2)/(V12_Min*Calculations!$B$28*np)),((Zo_Boost_Cout*Zo_Boost_Resr*POWER(V48_Nom,2))/(V12_Min*Calculations!$B$28*np))*C186),COMPLEX(1,((Zo_Boost_Cout*Zo_Boost_Resr)+((Zo_Boost_Cout*POWER(V48_Nom,2))/(V12_Min*Calculations!$B$28*np)))*C186))</f>
        <v>0.466618237218793-3.36119271137347i</v>
      </c>
      <c r="E186" s="1">
        <f t="shared" si="45"/>
        <v>10.612771056662744</v>
      </c>
      <c r="F186" s="1">
        <f t="shared" si="46"/>
        <v>-82.096417593488141</v>
      </c>
      <c r="G186" s="1" t="str">
        <f>IMDIV(IMSUM(COMPLEX(V48_Nom,0),IMPRODUCT(COMPLEX(np*(Calculations!$B$28*(V12_Min/V48_Nom)),0),D186)),IMSUM(IMPRODUCT(COMPLEX(((V12_Min/V48_Nom)^2),0),D186),COMPLEX(Rcs/np,(Lm*C186)/np)))</f>
        <v>145.78841197634+507.706861556259i</v>
      </c>
      <c r="H186" s="1">
        <f t="shared" si="50"/>
        <v>54.456361411706254</v>
      </c>
      <c r="I186" s="1">
        <f t="shared" si="51"/>
        <v>73.978540622100127</v>
      </c>
      <c r="J186" s="82" t="str">
        <f>IMPRODUCT(COMPLEX(-1,0),IMDIV(IMSUM(IMSUB(IMPRODUCT(COMPLEX((1-(V12_Min/V48_Nom))*V48_Nom,0),D186),IMPRODUCT(COMPLEX(V48_Nom,0),D186)),IMPRODUCT(COMPLEX(0,Calculations!$B$28*Lm*C186),D186)),IMSUM(IMPRODUCT(COMPLEX(((V12_Min/V48_Nom)^2),0),D186),COMPLEX(Rcs/np,(Lm*C186)/np))))</f>
        <v>317.232413650779-5.68927264986178i</v>
      </c>
      <c r="K186" s="81">
        <f t="shared" si="52"/>
        <v>50.028947713424934</v>
      </c>
      <c r="L186" s="81">
        <f t="shared" si="53"/>
        <v>-1.0274371612792521</v>
      </c>
      <c r="M186" s="1">
        <f t="shared" si="47"/>
        <v>0.58181818181818179</v>
      </c>
      <c r="N186" s="81">
        <f t="shared" si="48"/>
        <v>0.02</v>
      </c>
      <c r="O186" s="81" t="str">
        <f t="shared" si="49"/>
        <v>1.55294017587144-60.4590446128204i</v>
      </c>
      <c r="P186" s="81">
        <f t="shared" si="54"/>
        <v>35.632089964054572</v>
      </c>
      <c r="Q186" s="81">
        <f t="shared" si="55"/>
        <v>-88.528634410598698</v>
      </c>
      <c r="R186" s="81" t="str">
        <f t="shared" si="56"/>
        <v>7.73041002861092-28.940371566164i</v>
      </c>
      <c r="S186" s="81">
        <f t="shared" si="57"/>
        <v>29.529397710215672</v>
      </c>
      <c r="T186" s="81">
        <f t="shared" si="58"/>
        <v>-75.044598345103026</v>
      </c>
      <c r="U186" s="81" t="str">
        <f>IMPRODUCT(COMPLEX(-1,0),IMDIV(COMPLEX(1,C186*Calculations!$B$248*Calculations!$B$250),IMPRODUCT(COMPLEX(0,C186*Calculations!$B$237),COMPLEX((Calculations!$B$250+Calculations!$B$252),C186*Calculations!$B$248*Calculations!$B$250*Calculations!$B$252))))</f>
        <v>-0.997979424302725+0.21020132452427i</v>
      </c>
      <c r="V186" s="81">
        <f t="shared" si="59"/>
        <v>0.17094941340472819</v>
      </c>
      <c r="W186" s="81">
        <f t="shared" si="60"/>
        <v>168.10582294099299</v>
      </c>
      <c r="X186" s="81">
        <f>Calculations!$B$216/(Calculations!$B$216+Calculations!$B$218)</f>
        <v>0.6875</v>
      </c>
      <c r="Y186" s="81" t="str">
        <f t="shared" si="61"/>
        <v>-1.12164642874965+20.9734509750129i</v>
      </c>
      <c r="Z186" s="81">
        <f t="shared" si="62"/>
        <v>26.445801173666389</v>
      </c>
      <c r="AA186" s="81">
        <f t="shared" si="63"/>
        <v>93.06122459589001</v>
      </c>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row>
    <row r="187" spans="2:94">
      <c r="B187" s="1">
        <v>100</v>
      </c>
      <c r="C187" s="1">
        <f t="shared" si="44"/>
        <v>628.31853071795865</v>
      </c>
      <c r="D187" s="80" t="str">
        <f>IMDIV(COMPLEX((POWER(V48_Nom,2)/(V12_Min*Calculations!$B$28*np)),((Zo_Boost_Cout*Zo_Boost_Resr*POWER(V48_Nom,2))/(V12_Min*Calculations!$B$28*np))*C187),COMPLEX(1,((Zo_Boost_Cout*Zo_Boost_Resr)+((Zo_Boost_Cout*POWER(V48_Nom,2))/(V12_Min*Calculations!$B$28*np)))*C187))</f>
        <v>0.285735111310009-2.62147558107745i</v>
      </c>
      <c r="E187" s="1">
        <f t="shared" si="45"/>
        <v>8.4222087014336839</v>
      </c>
      <c r="F187" s="1">
        <f t="shared" si="46"/>
        <v>-83.779442136354064</v>
      </c>
      <c r="G187" s="1" t="str">
        <f>IMDIV(IMSUM(COMPLEX(V48_Nom,0),IMPRODUCT(COMPLEX(np*(Calculations!$B$28*(V12_Min/V48_Nom)),0),D187)),IMSUM(IMPRODUCT(COMPLEX(((V12_Min/V48_Nom)^2),0),D187),COMPLEX(Rcs/np,(Lm*C187)/np)))</f>
        <v>156.27506733486+677.992798542787i</v>
      </c>
      <c r="H187" s="1">
        <f t="shared" si="50"/>
        <v>56.849316121703943</v>
      </c>
      <c r="I187" s="1">
        <f t="shared" si="51"/>
        <v>77.020212277270417</v>
      </c>
      <c r="J187" s="82" t="str">
        <f>IMPRODUCT(COMPLEX(-1,0),IMDIV(IMSUM(IMSUB(IMPRODUCT(COMPLEX((1-(V12_Min/V48_Nom))*V48_Nom,0),D187),IMPRODUCT(COMPLEX(V48_Nom,0),D187)),IMPRODUCT(COMPLEX(0,Calculations!$B$28*Lm*C187),D187)),IMSUM(IMPRODUCT(COMPLEX(((V12_Min/V48_Nom)^2),0),D187),COMPLEX(Rcs/np,(Lm*C187)/np))))</f>
        <v>328.039816829913-7.80805890458649i</v>
      </c>
      <c r="K187" s="81">
        <f t="shared" si="52"/>
        <v>50.320990983670313</v>
      </c>
      <c r="L187" s="81">
        <f t="shared" si="53"/>
        <v>-1.3635063263415943</v>
      </c>
      <c r="M187" s="1">
        <f t="shared" si="47"/>
        <v>0.58181818181818179</v>
      </c>
      <c r="N187" s="81">
        <f t="shared" si="48"/>
        <v>0.02</v>
      </c>
      <c r="O187" s="81" t="str">
        <f t="shared" si="49"/>
        <v>1.55293950737133-46.8118873520742i</v>
      </c>
      <c r="P187" s="81">
        <f t="shared" si="54"/>
        <v>33.411899882316796</v>
      </c>
      <c r="Q187" s="81">
        <f t="shared" si="55"/>
        <v>-88.09996421876167</v>
      </c>
      <c r="R187" s="81" t="str">
        <f t="shared" si="56"/>
        <v>4.72418747907897-23.0403327370011i</v>
      </c>
      <c r="S187" s="81">
        <f t="shared" si="57"/>
        <v>27.428624502903883</v>
      </c>
      <c r="T187" s="81">
        <f t="shared" si="58"/>
        <v>-78.412679988049064</v>
      </c>
      <c r="U187" s="81" t="str">
        <f>IMPRODUCT(COMPLEX(-1,0),IMDIV(COMPLEX(1,C187*Calculations!$B$248*Calculations!$B$250),IMPRODUCT(COMPLEX(0,C187*Calculations!$B$237),COMPLEX((Calculations!$B$250+Calculations!$B$252),C187*Calculations!$B$248*Calculations!$B$250*Calculations!$B$252))))</f>
        <v>-0.99796367665623+0.165260073728432i</v>
      </c>
      <c r="V187" s="81">
        <f t="shared" si="59"/>
        <v>9.9785242229897514E-2</v>
      </c>
      <c r="W187" s="81">
        <f t="shared" si="60"/>
        <v>170.59730328443658</v>
      </c>
      <c r="X187" s="81">
        <f>Calculations!$B$216/(Calculations!$B$216+Calculations!$B$218)</f>
        <v>0.6875</v>
      </c>
      <c r="Y187" s="81" t="str">
        <f t="shared" si="61"/>
        <v>-0.623507788056015+16.3447176342312i</v>
      </c>
      <c r="Z187" s="81">
        <f t="shared" si="62"/>
        <v>24.273863795179746</v>
      </c>
      <c r="AA187" s="81">
        <f t="shared" si="63"/>
        <v>92.184623296387528</v>
      </c>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row>
    <row r="188" spans="2:94">
      <c r="B188" s="1">
        <v>129.15496650148842</v>
      </c>
      <c r="C188" s="1">
        <f t="shared" si="44"/>
        <v>811.50458787142372</v>
      </c>
      <c r="D188" s="80" t="str">
        <f>IMDIV(COMPLEX((POWER(V48_Nom,2)/(V12_Min*Calculations!$B$28*np)),((Zo_Boost_Cout*Zo_Boost_Resr*POWER(V48_Nom,2))/(V12_Min*Calculations!$B$28*np))*C188),COMPLEX(1,((Zo_Boost_Cout*Zo_Boost_Resr)+((Zo_Boost_Cout*POWER(V48_Nom,2))/(V12_Min*Calculations!$B$28*np)))*C188))</f>
        <v>0.176024930321414-2.03864820916623i</v>
      </c>
      <c r="E188" s="1">
        <f t="shared" si="45"/>
        <v>6.219103560564565</v>
      </c>
      <c r="F188" s="1">
        <f t="shared" si="46"/>
        <v>-85.065095729874727</v>
      </c>
      <c r="G188" s="1" t="str">
        <f>IMDIV(IMSUM(COMPLEX(V48_Nom,0),IMPRODUCT(COMPLEX(np*(Calculations!$B$28*(V12_Min/V48_Nom)),0),D188)),IMSUM(IMPRODUCT(COMPLEX(((V12_Min/V48_Nom)^2),0),D188),COMPLEX(Rcs/np,(Lm*C188)/np)))</f>
        <v>176.396233968018+928.209261542307i</v>
      </c>
      <c r="H188" s="1">
        <f t="shared" si="50"/>
        <v>59.50699728203233</v>
      </c>
      <c r="I188" s="1">
        <f t="shared" si="51"/>
        <v>79.239859917248111</v>
      </c>
      <c r="J188" s="82" t="str">
        <f>IMPRODUCT(COMPLEX(-1,0),IMDIV(IMSUM(IMSUB(IMPRODUCT(COMPLEX((1-(V12_Min/V48_Nom))*V48_Nom,0),D188),IMPRODUCT(COMPLEX(V48_Nom,0),D188)),IMPRODUCT(COMPLEX(0,Calculations!$B$28*Lm*C188),D188)),IMSUM(IMPRODUCT(COMPLEX(((V12_Min/V48_Nom)^2),0),D188),COMPLEX(Rcs/np,(Lm*C188)/np))))</f>
        <v>347.795023008042-11.2174244545816i</v>
      </c>
      <c r="K188" s="81">
        <f t="shared" si="52"/>
        <v>50.830982677489082</v>
      </c>
      <c r="L188" s="81">
        <f t="shared" si="53"/>
        <v>-1.8473190061045446</v>
      </c>
      <c r="M188" s="1">
        <f t="shared" si="47"/>
        <v>0.58181818181818179</v>
      </c>
      <c r="N188" s="81">
        <f t="shared" si="48"/>
        <v>0.02</v>
      </c>
      <c r="O188" s="81" t="str">
        <f t="shared" si="49"/>
        <v>1.55293839224722-36.2455771089795i</v>
      </c>
      <c r="P188" s="81">
        <f t="shared" si="54"/>
        <v>31.193065356259591</v>
      </c>
      <c r="Q188" s="81">
        <f t="shared" si="55"/>
        <v>-87.546668084805901</v>
      </c>
      <c r="R188" s="81" t="str">
        <f t="shared" si="56"/>
        <v>2.83942883007975-18.1485451709411i</v>
      </c>
      <c r="S188" s="81">
        <f t="shared" si="57"/>
        <v>25.281863277088391</v>
      </c>
      <c r="T188" s="81">
        <f t="shared" si="58"/>
        <v>-81.107881059097863</v>
      </c>
      <c r="U188" s="81" t="str">
        <f>IMPRODUCT(COMPLEX(-1,0),IMDIV(COMPLEX(1,C188*Calculations!$B$248*Calculations!$B$250),IMPRODUCT(COMPLEX(0,C188*Calculations!$B$237),COMPLEX((Calculations!$B$250+Calculations!$B$252),C188*Calculations!$B$248*Calculations!$B$250*Calculations!$B$252))))</f>
        <v>-0.997937409104567+0.131195005208996i</v>
      </c>
      <c r="V188" s="81">
        <f t="shared" si="59"/>
        <v>5.6485437721739196E-2</v>
      </c>
      <c r="W188" s="81">
        <f t="shared" si="60"/>
        <v>172.51049437119829</v>
      </c>
      <c r="X188" s="81">
        <f>Calculations!$B$216/(Calculations!$B$216+Calculations!$B$218)</f>
        <v>0.6875</v>
      </c>
      <c r="Y188" s="81" t="str">
        <f t="shared" si="61"/>
        <v>-0.311144468105131+12.7074963311031i</v>
      </c>
      <c r="Z188" s="81">
        <f t="shared" si="62"/>
        <v>22.083802764856134</v>
      </c>
      <c r="AA188" s="81">
        <f t="shared" si="63"/>
        <v>91.402613312100442</v>
      </c>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row>
    <row r="189" spans="2:94">
      <c r="B189" s="1">
        <v>166.81005372000601</v>
      </c>
      <c r="C189" s="1">
        <f t="shared" si="44"/>
        <v>1048.0984786233792</v>
      </c>
      <c r="D189" s="80" t="str">
        <f>IMDIV(COMPLEX((POWER(V48_Nom,2)/(V12_Min*Calculations!$B$28*np)),((Zo_Boost_Cout*Zo_Boost_Resr*POWER(V48_Nom,2))/(V12_Min*Calculations!$B$28*np))*C189),COMPLEX(1,((Zo_Boost_Cout*Zo_Boost_Resr)+((Zo_Boost_Cout*POWER(V48_Nom,2))/(V12_Min*Calculations!$B$28*np)))*C189))</f>
        <v>0.109791097015329-1.5826277478396i</v>
      </c>
      <c r="E189" s="1">
        <f t="shared" si="45"/>
        <v>4.0084260931005566</v>
      </c>
      <c r="F189" s="1">
        <f t="shared" si="46"/>
        <v>-86.031597272743483</v>
      </c>
      <c r="G189" s="1" t="str">
        <f>IMDIV(IMSUM(COMPLEX(V48_Nom,0),IMPRODUCT(COMPLEX(np*(Calculations!$B$28*(V12_Min/V48_Nom)),0),D189)),IMSUM(IMPRODUCT(COMPLEX(((V12_Min/V48_Nom)^2),0),D189),COMPLEX(Rcs/np,(Lm*C189)/np)))</f>
        <v>219.509994255569+1332.04625478819i</v>
      </c>
      <c r="H189" s="1">
        <f t="shared" si="50"/>
        <v>62.606751296239679</v>
      </c>
      <c r="I189" s="1">
        <f t="shared" si="51"/>
        <v>80.642240917750129</v>
      </c>
      <c r="J189" s="82" t="str">
        <f>IMPRODUCT(COMPLEX(-1,0),IMDIV(IMSUM(IMSUB(IMPRODUCT(COMPLEX((1-(V12_Min/V48_Nom))*V48_Nom,0),D189),IMPRODUCT(COMPLEX(V48_Nom,0),D189)),IMPRODUCT(COMPLEX(0,Calculations!$B$28*Lm*C189),D189)),IMSUM(IMPRODUCT(COMPLEX(((V12_Min/V48_Nom)^2),0),D189),COMPLEX(Rcs/np,(Lm*C189)/np))))</f>
        <v>386.593402162879-17.589589967323i</v>
      </c>
      <c r="K189" s="81">
        <f t="shared" si="52"/>
        <v>51.754070025916747</v>
      </c>
      <c r="L189" s="81">
        <f t="shared" si="53"/>
        <v>-2.6051005666729785</v>
      </c>
      <c r="M189" s="1">
        <f t="shared" si="47"/>
        <v>0.58181818181818179</v>
      </c>
      <c r="N189" s="81">
        <f t="shared" si="48"/>
        <v>0.02</v>
      </c>
      <c r="O189" s="81" t="str">
        <f t="shared" si="49"/>
        <v>1.55293653211166-28.0647096325401i</v>
      </c>
      <c r="P189" s="81">
        <f t="shared" si="54"/>
        <v>28.976488267079297</v>
      </c>
      <c r="Q189" s="81">
        <f t="shared" si="55"/>
        <v>-86.8328172583997</v>
      </c>
      <c r="R189" s="81" t="str">
        <f t="shared" si="56"/>
        <v>1.67807276980378-14.2019674287148i</v>
      </c>
      <c r="S189" s="81">
        <f t="shared" si="57"/>
        <v>23.10718386162613</v>
      </c>
      <c r="T189" s="81">
        <f t="shared" si="58"/>
        <v>-83.261302909869684</v>
      </c>
      <c r="U189" s="81" t="str">
        <f>IMPRODUCT(COMPLEX(-1,0),IMDIV(COMPLEX(1,C189*Calculations!$B$248*Calculations!$B$250),IMPRODUCT(COMPLEX(0,C189*Calculations!$B$237),COMPLEX((Calculations!$B$250+Calculations!$B$252),C189*Calculations!$B$248*Calculations!$B$250*Calculations!$B$252))))</f>
        <v>-0.997893595264545+0.105764025308938i</v>
      </c>
      <c r="V189" s="81">
        <f t="shared" si="59"/>
        <v>3.0198342498235262E-2</v>
      </c>
      <c r="W189" s="81">
        <f t="shared" si="60"/>
        <v>173.94996282445908</v>
      </c>
      <c r="X189" s="81">
        <f>Calculations!$B$216/(Calculations!$B$216+Calculations!$B$218)</f>
        <v>0.6875</v>
      </c>
      <c r="Y189" s="81" t="str">
        <f t="shared" si="61"/>
        <v>-0.118580568430309+9.86530329686406i</v>
      </c>
      <c r="Z189" s="81">
        <f t="shared" si="62"/>
        <v>19.88283625417035</v>
      </c>
      <c r="AA189" s="81">
        <f t="shared" si="63"/>
        <v>90.688659914589394</v>
      </c>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row>
    <row r="190" spans="2:94">
      <c r="B190" s="1">
        <v>215.44346900318828</v>
      </c>
      <c r="C190" s="1">
        <f t="shared" si="44"/>
        <v>1353.6712389686331</v>
      </c>
      <c r="D190" s="80" t="str">
        <f>IMDIV(COMPLEX((POWER(V48_Nom,2)/(V12_Min*Calculations!$B$28*np)),((Zo_Boost_Cout*Zo_Boost_Resr*POWER(V48_Nom,2))/(V12_Min*Calculations!$B$28*np))*C190),COMPLEX(1,((Zo_Boost_Cout*Zo_Boost_Resr)+((Zo_Boost_Cout*POWER(V48_Nom,2))/(V12_Min*Calculations!$B$28*np)))*C190))</f>
        <v>0.0699166486100856-1.22731795481589i</v>
      </c>
      <c r="E190" s="1">
        <f t="shared" si="45"/>
        <v>1.7932128392072977</v>
      </c>
      <c r="F190" s="1">
        <f t="shared" si="46"/>
        <v>-86.739554014262467</v>
      </c>
      <c r="G190" s="1" t="str">
        <f>IMDIV(IMSUM(COMPLEX(V48_Nom,0),IMPRODUCT(COMPLEX(np*(Calculations!$B$28*(V12_Min/V48_Nom)),0),D190)),IMSUM(IMPRODUCT(COMPLEX(((V12_Min/V48_Nom)^2),0),D190),COMPLEX(Rcs/np,(Lm*C190)/np)))</f>
        <v>335.325612571715+2110.80183452184i</v>
      </c>
      <c r="H190" s="1">
        <f t="shared" si="50"/>
        <v>66.597192167371247</v>
      </c>
      <c r="I190" s="1">
        <f t="shared" si="51"/>
        <v>80.973324997166998</v>
      </c>
      <c r="J190" s="82" t="str">
        <f>IMPRODUCT(COMPLEX(-1,0),IMDIV(IMSUM(IMSUB(IMPRODUCT(COMPLEX((1-(V12_Min/V48_Nom))*V48_Nom,0),D190),IMPRODUCT(COMPLEX(V48_Nom,0),D190)),IMPRODUCT(COMPLEX(0,Calculations!$B$28*Lm*C190),D190)),IMSUM(IMPRODUCT(COMPLEX(((V12_Min/V48_Nom)^2),0),D190),COMPLEX(Rcs/np,(Lm*C190)/np))))</f>
        <v>474.731529211215-33.2817782941751i</v>
      </c>
      <c r="K190" s="81">
        <f t="shared" si="52"/>
        <v>53.550254489468394</v>
      </c>
      <c r="L190" s="81">
        <f t="shared" si="53"/>
        <v>-4.0102466243746973</v>
      </c>
      <c r="M190" s="1">
        <f t="shared" si="47"/>
        <v>0.58181818181818179</v>
      </c>
      <c r="N190" s="81">
        <f t="shared" si="48"/>
        <v>0.02</v>
      </c>
      <c r="O190" s="81" t="str">
        <f t="shared" si="49"/>
        <v>1.55293342922844-21.7308746446949i</v>
      </c>
      <c r="P190" s="81">
        <f t="shared" si="54"/>
        <v>26.763666365964145</v>
      </c>
      <c r="Q190" s="81">
        <f t="shared" si="55"/>
        <v>-85.912473262296601</v>
      </c>
      <c r="R190" s="81" t="str">
        <f t="shared" si="56"/>
        <v>0.969966659088182-11.0704338475163i</v>
      </c>
      <c r="S190" s="81">
        <f t="shared" si="57"/>
        <v>20.91650573279302</v>
      </c>
      <c r="T190" s="81">
        <f t="shared" si="58"/>
        <v>-84.992659363744167</v>
      </c>
      <c r="U190" s="81" t="str">
        <f>IMPRODUCT(COMPLEX(-1,0),IMDIV(COMPLEX(1,C190*Calculations!$B$248*Calculations!$B$250),IMPRODUCT(COMPLEX(0,C190*Calculations!$B$237),COMPLEX((Calculations!$B$250+Calculations!$B$252),C190*Calculations!$B$248*Calculations!$B$250*Calculations!$B$252))))</f>
        <v>-0.997820517935211+0.087293096937841i</v>
      </c>
      <c r="V190" s="81">
        <f t="shared" si="59"/>
        <v>1.4160386177328163E-2</v>
      </c>
      <c r="W190" s="81">
        <f t="shared" si="60"/>
        <v>175.00027846266028</v>
      </c>
      <c r="X190" s="81">
        <f>Calculations!$B$216/(Calculations!$B$216+Calculations!$B$218)</f>
        <v>0.6875</v>
      </c>
      <c r="Y190" s="81" t="str">
        <f t="shared" si="61"/>
        <v>-0.00101762316979089+7.65254698250247i</v>
      </c>
      <c r="Z190" s="81">
        <f t="shared" si="62"/>
        <v>17.676120169016379</v>
      </c>
      <c r="AA190" s="81">
        <f t="shared" si="63"/>
        <v>90.007619098916123</v>
      </c>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row>
    <row r="191" spans="2:94">
      <c r="B191" s="1">
        <v>278.25594022071277</v>
      </c>
      <c r="C191" s="1">
        <f t="shared" si="44"/>
        <v>1748.3336352302238</v>
      </c>
      <c r="D191" s="80" t="str">
        <f>IMDIV(COMPLEX((POWER(V48_Nom,2)/(V12_Min*Calculations!$B$28*np)),((Zo_Boost_Cout*Zo_Boost_Resr*POWER(V48_Nom,2))/(V12_Min*Calculations!$B$28*np))*C191),COMPLEX(1,((Zo_Boost_Cout*Zo_Boost_Resr)+((Zo_Boost_Cout*POWER(V48_Nom,2))/(V12_Min*Calculations!$B$28*np)))*C191))</f>
        <v>0.0459517435593153-0.95117362683575i</v>
      </c>
      <c r="E191" s="1">
        <f t="shared" si="45"/>
        <v>-0.42467975883933201</v>
      </c>
      <c r="F191" s="1">
        <f t="shared" si="46"/>
        <v>-87.234158429245042</v>
      </c>
      <c r="G191" s="1" t="str">
        <f>IMDIV(IMSUM(COMPLEX(V48_Nom,0),IMPRODUCT(COMPLEX(np*(Calculations!$B$28*(V12_Min/V48_Nom)),0),D191)),IMSUM(IMPRODUCT(COMPLEX(((V12_Min/V48_Nom)^2),0),D191),COMPLEX(Rcs/np,(Lm*C191)/np)))</f>
        <v>891.54201224202+4364.54305077676i</v>
      </c>
      <c r="H191" s="1">
        <f t="shared" si="50"/>
        <v>72.976310392648301</v>
      </c>
      <c r="I191" s="1">
        <f t="shared" si="51"/>
        <v>78.455058892871151</v>
      </c>
      <c r="J191" s="82" t="str">
        <f>IMPRODUCT(COMPLEX(-1,0),IMDIV(IMSUM(IMSUB(IMPRODUCT(COMPLEX((1-(V12_Min/V48_Nom))*V48_Nom,0),D191),IMPRODUCT(COMPLEX(V48_Nom,0),D191)),IMPRODUCT(COMPLEX(0,Calculations!$B$28*Lm*C191),D191)),IMSUM(IMPRODUCT(COMPLEX(((V12_Min/V48_Nom)^2),0),D191),COMPLEX(Rcs/np,(Lm*C191)/np))))</f>
        <v>762.162769429841-106.357855911443i</v>
      </c>
      <c r="K191" s="81">
        <f t="shared" si="52"/>
        <v>57.724713955967253</v>
      </c>
      <c r="L191" s="81">
        <f t="shared" si="53"/>
        <v>-7.9441769439808123</v>
      </c>
      <c r="M191" s="1">
        <f t="shared" si="47"/>
        <v>0.58181818181818179</v>
      </c>
      <c r="N191" s="81">
        <f t="shared" si="48"/>
        <v>0.02</v>
      </c>
      <c r="O191" s="81" t="str">
        <f t="shared" si="49"/>
        <v>1.55292825333487-16.8272212560142i</v>
      </c>
      <c r="P191" s="81">
        <f t="shared" si="54"/>
        <v>24.557079603536888</v>
      </c>
      <c r="Q191" s="81">
        <f t="shared" si="55"/>
        <v>-84.727298228869799</v>
      </c>
      <c r="R191" s="81" t="str">
        <f t="shared" si="56"/>
        <v>0.540783113640221-8.61078698831035i</v>
      </c>
      <c r="S191" s="81">
        <f t="shared" si="57"/>
        <v>18.717952732041208</v>
      </c>
      <c r="T191" s="81">
        <f t="shared" si="58"/>
        <v>-86.406373820007232</v>
      </c>
      <c r="U191" s="81" t="str">
        <f>IMPRODUCT(COMPLEX(-1,0),IMDIV(COMPLEX(1,C191*Calculations!$B$248*Calculations!$B$250),IMPRODUCT(COMPLEX(0,C191*Calculations!$B$237),COMPLEX((Calculations!$B$250+Calculations!$B$252),C191*Calculations!$B$248*Calculations!$B$250*Calculations!$B$252))))</f>
        <v>-0.997698641418004+0.0745658559847314i</v>
      </c>
      <c r="V191" s="81">
        <f t="shared" si="59"/>
        <v>4.1787073255574649E-3</v>
      </c>
      <c r="W191" s="81">
        <f t="shared" si="60"/>
        <v>175.72578277465456</v>
      </c>
      <c r="X191" s="81">
        <f>Calculations!$B$216/(Calculations!$B$216+Calculations!$B$218)</f>
        <v>0.6875</v>
      </c>
      <c r="Y191" s="81" t="str">
        <f t="shared" si="61"/>
        <v>0.0704908357346201+5.93401492443906i</v>
      </c>
      <c r="Z191" s="81">
        <f t="shared" si="62"/>
        <v>15.467585489412761</v>
      </c>
      <c r="AA191" s="81">
        <f t="shared" si="63"/>
        <v>89.319408954647344</v>
      </c>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row>
    <row r="192" spans="2:94">
      <c r="B192" s="1">
        <v>359.38136638046274</v>
      </c>
      <c r="C192" s="1">
        <f t="shared" si="44"/>
        <v>2258.0597209158473</v>
      </c>
      <c r="D192" s="80" t="str">
        <f>IMDIV(COMPLEX((POWER(V48_Nom,2)/(V12_Min*Calculations!$B$28*np)),((Zo_Boost_Cout*Zo_Boost_Resr*POWER(V48_Nom,2))/(V12_Min*Calculations!$B$28*np))*C192),COMPLEX(1,((Zo_Boost_Cout*Zo_Boost_Resr)+((Zo_Boost_Cout*POWER(V48_Nom,2))/(V12_Min*Calculations!$B$28*np)))*C192))</f>
        <v>0.0315632414823767-0.736880321642034i</v>
      </c>
      <c r="E192" s="1">
        <f t="shared" si="45"/>
        <v>-2.6441000451879475</v>
      </c>
      <c r="F192" s="1">
        <f t="shared" si="46"/>
        <v>-87.547314407991138</v>
      </c>
      <c r="G192" s="1" t="str">
        <f>IMDIV(IMSUM(COMPLEX(V48_Nom,0),IMPRODUCT(COMPLEX(np*(Calculations!$B$28*(V12_Min/V48_Nom)),0),D192)),IMSUM(IMPRODUCT(COMPLEX(((V12_Min/V48_Nom)^2),0),D192),COMPLEX(Rcs/np,(Lm*C192)/np)))</f>
        <v>32250.6465874541-11050.2201769885i</v>
      </c>
      <c r="H192" s="1">
        <f t="shared" si="50"/>
        <v>90.652851950686525</v>
      </c>
      <c r="I192" s="1">
        <f t="shared" si="51"/>
        <v>-18.91328619985596</v>
      </c>
      <c r="J192" s="82" t="str">
        <f>IMPRODUCT(COMPLEX(-1,0),IMDIV(IMSUM(IMSUB(IMPRODUCT(COMPLEX((1-(V12_Min/V48_Nom))*V48_Nom,0),D192),IMPRODUCT(COMPLEX(V48_Nom,0),D192)),IMPRODUCT(COMPLEX(0,Calculations!$B$28*Lm*C192),D192)),IMSUM(IMPRODUCT(COMPLEX(((V12_Min/V48_Nom)^2),0),D192),COMPLEX(Rcs/np,(Lm*C192)/np))))</f>
        <v>-1296.48770634179-4378.1046962055i</v>
      </c>
      <c r="K192" s="81">
        <f t="shared" si="52"/>
        <v>73.190785865264729</v>
      </c>
      <c r="L192" s="81">
        <f t="shared" si="53"/>
        <v>-106.49559662167653</v>
      </c>
      <c r="M192" s="1">
        <f t="shared" si="47"/>
        <v>0.58181818181818179</v>
      </c>
      <c r="N192" s="81">
        <f t="shared" si="48"/>
        <v>0.02</v>
      </c>
      <c r="O192" s="81" t="str">
        <f t="shared" si="49"/>
        <v>1.5529196195008-13.031023610006i</v>
      </c>
      <c r="P192" s="81">
        <f t="shared" si="54"/>
        <v>22.36081405269832</v>
      </c>
      <c r="Q192" s="81">
        <f t="shared" si="55"/>
        <v>-83.204057252372166</v>
      </c>
      <c r="R192" s="81" t="str">
        <f t="shared" si="56"/>
        <v>0.281252910785067-6.69115180223182i</v>
      </c>
      <c r="S192" s="81">
        <f t="shared" si="57"/>
        <v>16.51768408748347</v>
      </c>
      <c r="T192" s="81">
        <f t="shared" si="58"/>
        <v>-87.593071454205145</v>
      </c>
      <c r="U192" s="81" t="str">
        <f>IMPRODUCT(COMPLEX(-1,0),IMDIV(COMPLEX(1,C192*Calculations!$B$248*Calculations!$B$250),IMPRODUCT(COMPLEX(0,C192*Calculations!$B$237),COMPLEX((Calculations!$B$250+Calculations!$B$252),C192*Calculations!$B$248*Calculations!$B$250*Calculations!$B$252))))</f>
        <v>-0.99749540537467+0.0667431071903705i</v>
      </c>
      <c r="V192" s="81">
        <f t="shared" si="59"/>
        <v>-2.3817762816275129E-3</v>
      </c>
      <c r="W192" s="81">
        <f t="shared" si="60"/>
        <v>176.17200567249114</v>
      </c>
      <c r="X192" s="81">
        <f>Calculations!$B$216/(Calculations!$B$216+Calculations!$B$218)</f>
        <v>0.6875</v>
      </c>
      <c r="Y192" s="81" t="str">
        <f t="shared" si="61"/>
        <v>0.114152345798592+4.60155084988693i</v>
      </c>
      <c r="Z192" s="81">
        <f t="shared" si="62"/>
        <v>13.260756361247841</v>
      </c>
      <c r="AA192" s="81">
        <f t="shared" si="63"/>
        <v>88.578934218286008</v>
      </c>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row>
    <row r="193" spans="2:94">
      <c r="B193" s="1">
        <v>464.15888336127819</v>
      </c>
      <c r="C193" s="1">
        <f t="shared" si="44"/>
        <v>2916.3962761324665</v>
      </c>
      <c r="D193" s="80" t="str">
        <f>IMDIV(COMPLEX((POWER(V48_Nom,2)/(V12_Min*Calculations!$B$28*np)),((Zo_Boost_Cout*Zo_Boost_Resr*POWER(V48_Nom,2))/(V12_Min*Calculations!$B$28*np))*C193),COMPLEX(1,((Zo_Boost_Cout*Zo_Boost_Resr)+((Zo_Boost_Cout*POWER(V48_Nom,2))/(V12_Min*Calculations!$B$28*np)))*C193))</f>
        <v>0.0229296691198396-0.570735319959771i</v>
      </c>
      <c r="E193" s="1">
        <f t="shared" si="45"/>
        <v>-4.8643007803859923</v>
      </c>
      <c r="F193" s="1">
        <f t="shared" si="46"/>
        <v>-87.699341433193283</v>
      </c>
      <c r="G193" s="1" t="str">
        <f>IMDIV(IMSUM(COMPLEX(V48_Nom,0),IMPRODUCT(COMPLEX(np*(Calculations!$B$28*(V12_Min/V48_Nom)),0),D193)),IMSUM(IMPRODUCT(COMPLEX(((V12_Min/V48_Nom)^2),0),D193),COMPLEX(Rcs/np,(Lm*C193)/np)))</f>
        <v>299.712770061719-4137.79419216377i</v>
      </c>
      <c r="H193" s="1">
        <f t="shared" si="50"/>
        <v>72.358103569690385</v>
      </c>
      <c r="I193" s="1">
        <f t="shared" si="51"/>
        <v>-85.857130993386406</v>
      </c>
      <c r="J193" s="82" t="str">
        <f>IMPRODUCT(COMPLEX(-1,0),IMDIV(IMSUM(IMSUB(IMPRODUCT(COMPLEX((1-(V12_Min/V48_Nom))*V48_Nom,0),D193),IMPRODUCT(COMPLEX(V48_Nom,0),D193)),IMPRODUCT(COMPLEX(0,Calculations!$B$28*Lm*C193),D193)),IMSUM(IMPRODUCT(COMPLEX(((V12_Min/V48_Nom)^2),0),D193),COMPLEX(Rcs/np,(Lm*C193)/np))))</f>
        <v>-428.660646089794-41.5377512279072i</v>
      </c>
      <c r="K193" s="81">
        <f t="shared" si="52"/>
        <v>52.682861624849799</v>
      </c>
      <c r="L193" s="81">
        <f t="shared" si="53"/>
        <v>-174.46524784175523</v>
      </c>
      <c r="M193" s="1">
        <f t="shared" si="47"/>
        <v>0.58181818181818179</v>
      </c>
      <c r="N193" s="81">
        <f t="shared" si="48"/>
        <v>0.02</v>
      </c>
      <c r="O193" s="81" t="str">
        <f t="shared" si="49"/>
        <v>1.55290521761119-10.0924412072819i</v>
      </c>
      <c r="P193" s="81">
        <f t="shared" si="54"/>
        <v>20.181547258417151</v>
      </c>
      <c r="Q193" s="81">
        <f t="shared" si="55"/>
        <v>-81.252606815795531</v>
      </c>
      <c r="R193" s="81" t="str">
        <f t="shared" si="56"/>
        <v>0.123971948093386-5.19929077681374i</v>
      </c>
      <c r="S193" s="81">
        <f t="shared" si="57"/>
        <v>14.321350554103564</v>
      </c>
      <c r="T193" s="81">
        <f t="shared" si="58"/>
        <v>-88.634097601257636</v>
      </c>
      <c r="U193" s="81" t="str">
        <f>IMPRODUCT(COMPLEX(-1,0),IMDIV(COMPLEX(1,C193*Calculations!$B$248*Calculations!$B$250),IMPRODUCT(COMPLEX(0,C193*Calculations!$B$237),COMPLEX((Calculations!$B$250+Calculations!$B$252),C193*Calculations!$B$248*Calculations!$B$250*Calculations!$B$252))))</f>
        <v>-0.997156571417083+0.0633066235411998i</v>
      </c>
      <c r="V193" s="81">
        <f t="shared" si="59"/>
        <v>-7.2633200447736242E-3</v>
      </c>
      <c r="W193" s="81">
        <f t="shared" si="60"/>
        <v>176.36732995490055</v>
      </c>
      <c r="X193" s="81">
        <f>Calculations!$B$216/(Calculations!$B$216+Calculations!$B$218)</f>
        <v>0.6875</v>
      </c>
      <c r="Y193" s="81" t="str">
        <f t="shared" si="61"/>
        <v>0.141301944558694+3.56974420705077i</v>
      </c>
      <c r="Z193" s="81">
        <f t="shared" si="62"/>
        <v>11.059541284104791</v>
      </c>
      <c r="AA193" s="81">
        <f t="shared" si="63"/>
        <v>87.733232353642904</v>
      </c>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row>
    <row r="194" spans="2:94">
      <c r="B194" s="1">
        <v>599.48425031894124</v>
      </c>
      <c r="C194" s="1">
        <f t="shared" si="44"/>
        <v>3766.6706334895407</v>
      </c>
      <c r="D194" s="80" t="str">
        <f>IMDIV(COMPLEX((POWER(V48_Nom,2)/(V12_Min*Calculations!$B$28*np)),((Zo_Boost_Cout*Zo_Boost_Resr*POWER(V48_Nom,2))/(V12_Min*Calculations!$B$28*np))*C194),COMPLEX(1,((Zo_Boost_Cout*Zo_Boost_Resr)+((Zo_Boost_Cout*POWER(V48_Nom,2))/(V12_Min*Calculations!$B$28*np)))*C194))</f>
        <v>0.0177511390546408-0.44199049244492i</v>
      </c>
      <c r="E194" s="1">
        <f t="shared" si="45"/>
        <v>-7.0847420499056959</v>
      </c>
      <c r="F194" s="1">
        <f t="shared" si="46"/>
        <v>-87.700133683846545</v>
      </c>
      <c r="G194" s="1" t="str">
        <f>IMDIV(IMSUM(COMPLEX(V48_Nom,0),IMPRODUCT(COMPLEX(np*(Calculations!$B$28*(V12_Min/V48_Nom)),0),D194)),IMSUM(IMPRODUCT(COMPLEX(((V12_Min/V48_Nom)^2),0),D194),COMPLEX(Rcs/np,(Lm*C194)/np)))</f>
        <v>47.1146581574727-2050.08115588786i</v>
      </c>
      <c r="H194" s="1">
        <f t="shared" si="50"/>
        <v>66.237714261205326</v>
      </c>
      <c r="I194" s="1">
        <f t="shared" si="51"/>
        <v>-88.683468723836228</v>
      </c>
      <c r="J194" s="82" t="str">
        <f>IMPRODUCT(COMPLEX(-1,0),IMDIV(IMSUM(IMSUB(IMPRODUCT(COMPLEX((1-(V12_Min/V48_Nom))*V48_Nom,0),D194),IMPRODUCT(COMPLEX(V48_Nom,0),D194)),IMPRODUCT(COMPLEX(0,Calculations!$B$28*Lm*C194),D194)),IMSUM(IMPRODUCT(COMPLEX(((V12_Min/V48_Nom)^2),0),D194),COMPLEX(Rcs/np,(Lm*C194)/np))))</f>
        <v>-164.907933512327-5.10689746775808i</v>
      </c>
      <c r="K194" s="81">
        <f t="shared" si="52"/>
        <v>44.348993998854674</v>
      </c>
      <c r="L194" s="81">
        <f t="shared" si="53"/>
        <v>-178.22622125862935</v>
      </c>
      <c r="M194" s="1">
        <f t="shared" si="47"/>
        <v>0.58181818181818179</v>
      </c>
      <c r="N194" s="81">
        <f t="shared" si="48"/>
        <v>0.02</v>
      </c>
      <c r="O194" s="81" t="str">
        <f t="shared" si="49"/>
        <v>1.55288119440583-7.81807605118831i</v>
      </c>
      <c r="P194" s="81">
        <f t="shared" si="54"/>
        <v>18.03004511285171</v>
      </c>
      <c r="Q194" s="81">
        <f t="shared" si="55"/>
        <v>-78.765727478572785</v>
      </c>
      <c r="R194" s="81" t="str">
        <f t="shared" si="56"/>
        <v>0.0276258986099534-4.04350633576338i</v>
      </c>
      <c r="S194" s="81">
        <f t="shared" si="57"/>
        <v>12.135365276118391</v>
      </c>
      <c r="T194" s="81">
        <f t="shared" si="58"/>
        <v>-89.608551925836991</v>
      </c>
      <c r="U194" s="81" t="str">
        <f>IMPRODUCT(COMPLEX(-1,0),IMDIV(COMPLEX(1,C194*Calculations!$B$248*Calculations!$B$250),IMPRODUCT(COMPLEX(0,C194*Calculations!$B$237),COMPLEX((Calculations!$B$250+Calculations!$B$252),C194*Calculations!$B$248*Calculations!$B$250*Calculations!$B$252))))</f>
        <v>-0.996591874276678+0.0640229551159702i</v>
      </c>
      <c r="V194" s="81">
        <f t="shared" si="59"/>
        <v>-1.1766619905894881E-2</v>
      </c>
      <c r="W194" s="81">
        <f t="shared" si="60"/>
        <v>176.32426135046234</v>
      </c>
      <c r="X194" s="81">
        <f>Calculations!$B$216/(Calculations!$B$216+Calculations!$B$218)</f>
        <v>0.6875</v>
      </c>
      <c r="Y194" s="81" t="str">
        <f t="shared" si="61"/>
        <v>0.159050016517871+2.77165229651392i</v>
      </c>
      <c r="Z194" s="81">
        <f t="shared" si="62"/>
        <v>8.8690527062585041</v>
      </c>
      <c r="AA194" s="81">
        <f t="shared" si="63"/>
        <v>86.715709424625373</v>
      </c>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row>
    <row r="195" spans="2:94">
      <c r="B195" s="1">
        <v>774.26368268112776</v>
      </c>
      <c r="C195" s="1">
        <f t="shared" si="44"/>
        <v>4864.8421949048197</v>
      </c>
      <c r="D195" s="80" t="str">
        <f>IMDIV(COMPLEX((POWER(V48_Nom,2)/(V12_Min*Calculations!$B$28*np)),((Zo_Boost_Cout*Zo_Boost_Resr*POWER(V48_Nom,2))/(V12_Min*Calculations!$B$28*np))*C195),COMPLEX(1,((Zo_Boost_Cout*Zo_Boost_Resr)+((Zo_Boost_Cout*POWER(V48_Nom,2))/(V12_Min*Calculations!$B$28*np)))*C195))</f>
        <v>0.0146456707240723-0.342259374563247i</v>
      </c>
      <c r="E195" s="1">
        <f t="shared" si="45"/>
        <v>-9.3049479351767097</v>
      </c>
      <c r="F195" s="1">
        <f t="shared" si="46"/>
        <v>-87.549742768761803</v>
      </c>
      <c r="G195" s="1" t="str">
        <f>IMDIV(IMSUM(COMPLEX(V48_Nom,0),IMPRODUCT(COMPLEX(np*(Calculations!$B$28*(V12_Min/V48_Nom)),0),D195)),IMSUM(IMPRODUCT(COMPLEX(((V12_Min/V48_Nom)^2),0),D195),COMPLEX(Rcs/np,(Lm*C195)/np)))</f>
        <v>12.7113426221442-1303.81214198872i</v>
      </c>
      <c r="H195" s="1">
        <f t="shared" si="50"/>
        <v>62.304713201334081</v>
      </c>
      <c r="I195" s="1">
        <f t="shared" si="51"/>
        <v>-89.441420134965597</v>
      </c>
      <c r="J195" s="82" t="str">
        <f>IMPRODUCT(COMPLEX(-1,0),IMDIV(IMSUM(IMSUB(IMPRODUCT(COMPLEX((1-(V12_Min/V48_Nom))*V48_Nom,0),D195),IMPRODUCT(COMPLEX(V48_Nom,0),D195)),IMPRODUCT(COMPLEX(0,Calculations!$B$28*Lm*C195),D195)),IMSUM(IMPRODUCT(COMPLEX(((V12_Min/V48_Nom)^2),0),D195),COMPLEX(Rcs/np,(Lm*C195)/np))))</f>
        <v>-81.3253844489915-0.15897205781638i</v>
      </c>
      <c r="K195" s="81">
        <f t="shared" si="52"/>
        <v>38.204539094758331</v>
      </c>
      <c r="L195" s="81">
        <f t="shared" si="53"/>
        <v>-179.88800032814234</v>
      </c>
      <c r="M195" s="1">
        <f t="shared" si="47"/>
        <v>0.58181818181818179</v>
      </c>
      <c r="N195" s="81">
        <f t="shared" si="48"/>
        <v>0.02</v>
      </c>
      <c r="O195" s="81" t="str">
        <f t="shared" si="49"/>
        <v>1.55284112293806-6.05824444651313i</v>
      </c>
      <c r="P195" s="81">
        <f t="shared" si="54"/>
        <v>15.923282489493184</v>
      </c>
      <c r="Q195" s="81">
        <f t="shared" si="55"/>
        <v>-75.623529631934446</v>
      </c>
      <c r="R195" s="81" t="str">
        <f t="shared" si="56"/>
        <v>-0.0332021490168396-3.15050708420858i</v>
      </c>
      <c r="S195" s="81">
        <f t="shared" si="57"/>
        <v>9.9680915260699496</v>
      </c>
      <c r="T195" s="81">
        <f t="shared" si="58"/>
        <v>-90.60379886040603</v>
      </c>
      <c r="U195" s="81" t="str">
        <f>IMPRODUCT(COMPLEX(-1,0),IMDIV(COMPLEX(1,C195*Calculations!$B$248*Calculations!$B$250),IMPRODUCT(COMPLEX(0,C195*Calculations!$B$237),COMPLEX((Calculations!$B$250+Calculations!$B$252),C195*Calculations!$B$248*Calculations!$B$250*Calculations!$B$252))))</f>
        <v>-0.99565132461635+0.0689235935041408i</v>
      </c>
      <c r="V195" s="81">
        <f t="shared" si="59"/>
        <v>-1.7092583580253694E-2</v>
      </c>
      <c r="W195" s="81">
        <f t="shared" si="60"/>
        <v>176.04003830404946</v>
      </c>
      <c r="X195" s="81">
        <f>Calculations!$B$216/(Calculations!$B$216+Calculations!$B$218)</f>
        <v>0.6875</v>
      </c>
      <c r="Y195" s="81" t="str">
        <f t="shared" si="61"/>
        <v>0.172013897861186+2.15498122137593i</v>
      </c>
      <c r="Z195" s="81">
        <f t="shared" si="62"/>
        <v>6.6964529925357121</v>
      </c>
      <c r="AA195" s="81">
        <f t="shared" si="63"/>
        <v>85.436239443643444</v>
      </c>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row>
    <row r="196" spans="2:94">
      <c r="B196" s="1">
        <v>1000</v>
      </c>
      <c r="C196" s="1">
        <f t="shared" si="44"/>
        <v>6283.1853071795858</v>
      </c>
      <c r="D196" s="80" t="str">
        <f>IMDIV(COMPLEX((POWER(V48_Nom,2)/(V12_Min*Calculations!$B$28*np)),((Zo_Boost_Cout*Zo_Boost_Resr*POWER(V48_Nom,2))/(V12_Min*Calculations!$B$28*np))*C196),COMPLEX(1,((Zo_Boost_Cout*Zo_Boost_Resr)+((Zo_Boost_Cout*POWER(V48_Nom,2))/(V12_Min*Calculations!$B$28*np)))*C196))</f>
        <v>0.0127836242518896-0.265018589658177i</v>
      </c>
      <c r="E196" s="1">
        <f t="shared" si="45"/>
        <v>-11.52437989140072</v>
      </c>
      <c r="F196" s="1">
        <f t="shared" si="46"/>
        <v>-87.238380795611761</v>
      </c>
      <c r="G196" s="1" t="str">
        <f>IMDIV(IMSUM(COMPLEX(V48_Nom,0),IMPRODUCT(COMPLEX(np*(Calculations!$B$28*(V12_Min/V48_Nom)),0),D196)),IMSUM(IMPRODUCT(COMPLEX(((V12_Min/V48_Nom)^2),0),D196),COMPLEX(Rcs/np,(Lm*C196)/np)))</f>
        <v>4.35590476846107-911.684192603166i</v>
      </c>
      <c r="H196" s="1">
        <f t="shared" si="50"/>
        <v>59.196987635093194</v>
      </c>
      <c r="I196" s="1">
        <f t="shared" si="51"/>
        <v>-89.72625053483938</v>
      </c>
      <c r="J196" s="82" t="str">
        <f>IMPRODUCT(COMPLEX(-1,0),IMDIV(IMSUM(IMSUB(IMPRODUCT(COMPLEX((1-(V12_Min/V48_Nom))*V48_Nom,0),D196),IMPRODUCT(COMPLEX(V48_Nom,0),D196)),IMPRODUCT(COMPLEX(0,Calculations!$B$28*Lm*C196),D196)),IMSUM(IMPRODUCT(COMPLEX(((V12_Min/V48_Nom)^2),0),D196),COMPLEX(Rcs/np,(Lm*C196)/np))))</f>
        <v>-44.0992833220395+0.849636427186996i</v>
      </c>
      <c r="K196" s="81">
        <f t="shared" si="52"/>
        <v>32.890242416310201</v>
      </c>
      <c r="L196" s="81">
        <f t="shared" si="53"/>
        <v>178.89625055718446</v>
      </c>
      <c r="M196" s="1">
        <f t="shared" si="47"/>
        <v>0.58181818181818179</v>
      </c>
      <c r="N196" s="81">
        <f t="shared" si="48"/>
        <v>0.02</v>
      </c>
      <c r="O196" s="81" t="str">
        <f t="shared" si="49"/>
        <v>1.55277428430304-4.69712574613495i</v>
      </c>
      <c r="P196" s="81">
        <f t="shared" si="54"/>
        <v>13.887066992101202</v>
      </c>
      <c r="Q196" s="81">
        <f t="shared" si="55"/>
        <v>-71.707164186678781</v>
      </c>
      <c r="R196" s="81" t="str">
        <f t="shared" si="56"/>
        <v>-0.0744341460638908-2.46230628008152i</v>
      </c>
      <c r="S196" s="81">
        <f t="shared" si="57"/>
        <v>7.8308083091704219</v>
      </c>
      <c r="T196" s="81">
        <f t="shared" si="58"/>
        <v>-91.731492176054203</v>
      </c>
      <c r="U196" s="81" t="str">
        <f>IMPRODUCT(COMPLEX(-1,0),IMDIV(COMPLEX(1,C196*Calculations!$B$248*Calculations!$B$250),IMPRODUCT(COMPLEX(0,C196*Calculations!$B$237),COMPLEX((Calculations!$B$250+Calculations!$B$252),C196*Calculations!$B$248*Calculations!$B$250*Calculations!$B$252))))</f>
        <v>-0.994086337680925+0.0782974835355016i</v>
      </c>
      <c r="V196" s="81">
        <f t="shared" si="59"/>
        <v>-2.4659007815141611E-2</v>
      </c>
      <c r="W196" s="81">
        <f t="shared" si="60"/>
        <v>175.49649482598119</v>
      </c>
      <c r="X196" s="81">
        <f>Calculations!$B$216/(Calculations!$B$216+Calculations!$B$218)</f>
        <v>0.6875</v>
      </c>
      <c r="Y196" s="81" t="str">
        <f t="shared" si="61"/>
        <v>0.183415617744635+1.67881795529873i</v>
      </c>
      <c r="Z196" s="81">
        <f t="shared" si="62"/>
        <v>4.551603351401277</v>
      </c>
      <c r="AA196" s="81">
        <f t="shared" si="63"/>
        <v>83.765002649926956</v>
      </c>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row>
    <row r="197" spans="2:94">
      <c r="B197" s="1">
        <v>1291.5496650148843</v>
      </c>
      <c r="C197" s="1">
        <f t="shared" si="44"/>
        <v>8115.0458787142379</v>
      </c>
      <c r="D197" s="80" t="str">
        <f>IMDIV(COMPLEX((POWER(V48_Nom,2)/(V12_Min*Calculations!$B$28*np)),((Zo_Boost_Cout*Zo_Boost_Resr*POWER(V48_Nom,2))/(V12_Min*Calculations!$B$28*np))*C197),COMPLEX(1,((Zo_Boost_Cout*Zo_Boost_Resr)+((Zo_Boost_Cout*POWER(V48_Nom,2))/(V12_Min*Calculations!$B$28*np)))*C197))</f>
        <v>0.0116672247511699-0.205203361241107i</v>
      </c>
      <c r="E197" s="1">
        <f t="shared" si="45"/>
        <v>-13.742293775614263</v>
      </c>
      <c r="F197" s="1">
        <f t="shared" si="46"/>
        <v>-86.745843777698141</v>
      </c>
      <c r="G197" s="1" t="str">
        <f>IMDIV(IMSUM(COMPLEX(V48_Nom,0),IMPRODUCT(COMPLEX(np*(Calculations!$B$28*(V12_Min/V48_Nom)),0),D197)),IMSUM(IMPRODUCT(COMPLEX(((V12_Min/V48_Nom)^2),0),D197),COMPLEX(Rcs/np,(Lm*C197)/np)))</f>
        <v>1.73531456162998-667.102768154305i</v>
      </c>
      <c r="H197" s="1">
        <f t="shared" si="50"/>
        <v>56.48388424227376</v>
      </c>
      <c r="I197" s="1">
        <f t="shared" si="51"/>
        <v>-89.850958531433392</v>
      </c>
      <c r="J197" s="82" t="str">
        <f>IMPRODUCT(COMPLEX(-1,0),IMDIV(IMSUM(IMSUB(IMPRODUCT(COMPLEX((1-(V12_Min/V48_Nom))*V48_Nom,0),D197),IMPRODUCT(COMPLEX(V48_Nom,0),D197)),IMPRODUCT(COMPLEX(0,Calculations!$B$28*Lm*C197),D197)),IMSUM(IMPRODUCT(COMPLEX(((V12_Min/V48_Nom)^2),0),D197),COMPLEX(Rcs/np,(Lm*C197)/np))))</f>
        <v>-25.0406473813644+0.981553213601507i</v>
      </c>
      <c r="K197" s="81">
        <f t="shared" si="52"/>
        <v>27.979578927170717</v>
      </c>
      <c r="L197" s="81">
        <f t="shared" si="53"/>
        <v>177.75524657005028</v>
      </c>
      <c r="M197" s="1">
        <f t="shared" si="47"/>
        <v>0.58181818181818179</v>
      </c>
      <c r="N197" s="81">
        <f t="shared" si="48"/>
        <v>0.02</v>
      </c>
      <c r="O197" s="81" t="str">
        <f t="shared" si="49"/>
        <v>1.55266280354336-3.64513965946412i</v>
      </c>
      <c r="P197" s="81">
        <f t="shared" si="54"/>
        <v>11.958389276684763</v>
      </c>
      <c r="Q197" s="81">
        <f t="shared" si="55"/>
        <v>-66.928213131221753</v>
      </c>
      <c r="R197" s="81" t="str">
        <f t="shared" si="56"/>
        <v>-0.106409612579311-1.93301104285973i</v>
      </c>
      <c r="S197" s="81">
        <f t="shared" si="57"/>
        <v>5.7378274515289203</v>
      </c>
      <c r="T197" s="81">
        <f t="shared" si="58"/>
        <v>-93.15087406834256</v>
      </c>
      <c r="U197" s="81" t="str">
        <f>IMPRODUCT(COMPLEX(-1,0),IMDIV(COMPLEX(1,C197*Calculations!$B$248*Calculations!$B$250),IMPRODUCT(COMPLEX(0,C197*Calculations!$B$237),COMPLEX((Calculations!$B$250+Calculations!$B$252),C197*Calculations!$B$248*Calculations!$B$250*Calculations!$B$252))))</f>
        <v>-0.991486701598166+0.0926897002513141i</v>
      </c>
      <c r="V197" s="81">
        <f t="shared" si="59"/>
        <v>-3.6471633290572888E-2</v>
      </c>
      <c r="W197" s="81">
        <f t="shared" si="60"/>
        <v>174.65919400225542</v>
      </c>
      <c r="X197" s="81">
        <f>Calculations!$B$216/(Calculations!$B$216+Calculations!$B$218)</f>
        <v>0.6875</v>
      </c>
      <c r="Y197" s="81" t="str">
        <f t="shared" si="61"/>
        <v>0.195713326833577+1.31085052171149i</v>
      </c>
      <c r="Z197" s="81">
        <f t="shared" si="62"/>
        <v>2.4468098682843347</v>
      </c>
      <c r="AA197" s="81">
        <f t="shared" si="63"/>
        <v>81.50831993391283</v>
      </c>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row>
    <row r="198" spans="2:94">
      <c r="B198" s="1">
        <v>1668.1005372000604</v>
      </c>
      <c r="C198" s="1">
        <f t="shared" si="44"/>
        <v>10480.984786233794</v>
      </c>
      <c r="D198" s="80" t="str">
        <f>IMDIV(COMPLEX((POWER(V48_Nom,2)/(V12_Min*Calculations!$B$28*np)),((Zo_Boost_Cout*Zo_Boost_Resr*POWER(V48_Nom,2))/(V12_Min*Calculations!$B$28*np))*C198),COMPLEX(1,((Zo_Boost_Cout*Zo_Boost_Resr)+((Zo_Boost_Cout*POWER(V48_Nom,2))/(V12_Min*Calculations!$B$28*np)))*C198))</f>
        <v>0.0109979133999747-0.158885730620258i</v>
      </c>
      <c r="E198" s="1">
        <f t="shared" si="45"/>
        <v>-15.957543554112723</v>
      </c>
      <c r="F198" s="1">
        <f t="shared" si="46"/>
        <v>-86.040358558622032</v>
      </c>
      <c r="G198" s="1" t="str">
        <f>IMDIV(IMSUM(COMPLEX(V48_Nom,0),IMPRODUCT(COMPLEX(np*(Calculations!$B$28*(V12_Min/V48_Nom)),0),D198)),IMSUM(IMPRODUCT(COMPLEX(((V12_Min/V48_Nom)^2),0),D198),COMPLEX(Rcs/np,(Lm*C198)/np)))</f>
        <v>0.773877578936158-500.037452841266i</v>
      </c>
      <c r="H198" s="1">
        <f t="shared" si="50"/>
        <v>53.980061086999001</v>
      </c>
      <c r="I198" s="1">
        <f t="shared" si="51"/>
        <v>-89.911326874656794</v>
      </c>
      <c r="J198" s="82" t="str">
        <f>IMPRODUCT(COMPLEX(-1,0),IMDIV(IMSUM(IMSUB(IMPRODUCT(COMPLEX((1-(V12_Min/V48_Nom))*V48_Nom,0),D198),IMPRODUCT(COMPLEX(V48_Nom,0),D198)),IMPRODUCT(COMPLEX(0,Calculations!$B$28*Lm*C198),D198)),IMSUM(IMPRODUCT(COMPLEX(((V12_Min/V48_Nom)^2),0),D198),COMPLEX(Rcs/np,(Lm*C198)/np))))</f>
        <v>-14.5843250075051+0.883719922414742i</v>
      </c>
      <c r="K198" s="81">
        <f t="shared" si="52"/>
        <v>23.293643078645289</v>
      </c>
      <c r="L198" s="81">
        <f t="shared" si="53"/>
        <v>176.53246967407347</v>
      </c>
      <c r="M198" s="1">
        <f t="shared" si="47"/>
        <v>0.58181818181818179</v>
      </c>
      <c r="N198" s="81">
        <f t="shared" si="48"/>
        <v>0.02</v>
      </c>
      <c r="O198" s="81" t="str">
        <f t="shared" si="49"/>
        <v>1.55247687804577-2.83305035702589i</v>
      </c>
      <c r="P198" s="81">
        <f t="shared" si="54"/>
        <v>10.185490009091726</v>
      </c>
      <c r="Q198" s="81">
        <f t="shared" si="55"/>
        <v>-61.277798692218468</v>
      </c>
      <c r="R198" s="81" t="str">
        <f t="shared" si="56"/>
        <v>-0.136084104551522-1.5258185606153i</v>
      </c>
      <c r="S198" s="81">
        <f t="shared" si="57"/>
        <v>3.7044668454663041</v>
      </c>
      <c r="T198" s="81">
        <f t="shared" si="58"/>
        <v>-95.096588468341551</v>
      </c>
      <c r="U198" s="81" t="str">
        <f>IMPRODUCT(COMPLEX(-1,0),IMDIV(COMPLEX(1,C198*Calculations!$B$248*Calculations!$B$250),IMPRODUCT(COMPLEX(0,C198*Calculations!$B$237),COMPLEX((Calculations!$B$250+Calculations!$B$252),C198*Calculations!$B$248*Calculations!$B$250*Calculations!$B$252))))</f>
        <v>-0.987180372805741+0.112894418442413i</v>
      </c>
      <c r="V198" s="81">
        <f t="shared" si="59"/>
        <v>-5.5639548466794114E-2</v>
      </c>
      <c r="W198" s="81">
        <f t="shared" si="60"/>
        <v>173.47596991651974</v>
      </c>
      <c r="X198" s="81">
        <f>Calculations!$B$216/(Calculations!$B$216+Calculations!$B$218)</f>
        <v>0.6875</v>
      </c>
      <c r="Y198" s="81" t="str">
        <f t="shared" si="61"/>
        <v>0.21078471982797+1.02499031226593i</v>
      </c>
      <c r="Z198" s="81">
        <f t="shared" si="62"/>
        <v>0.39428134704553808</v>
      </c>
      <c r="AA198" s="81">
        <f t="shared" si="63"/>
        <v>78.379381448178236</v>
      </c>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row>
    <row r="199" spans="2:94">
      <c r="B199" s="1">
        <v>2154.4346900318833</v>
      </c>
      <c r="C199" s="1">
        <f t="shared" si="44"/>
        <v>13536.712389686336</v>
      </c>
      <c r="D199" s="80" t="str">
        <f>IMDIV(COMPLEX((POWER(V48_Nom,2)/(V12_Min*Calculations!$B$28*np)),((Zo_Boost_Cout*Zo_Boost_Resr*POWER(V48_Nom,2))/(V12_Min*Calculations!$B$28*np))*C199),COMPLEX(1,((Zo_Boost_Cout*Zo_Boost_Resr)+((Zo_Boost_Cout*POWER(V48_Nom,2))/(V12_Min*Calculations!$B$28*np)))*C199))</f>
        <v>0.010596654738196-0.123021409956803i</v>
      </c>
      <c r="E199" s="1">
        <f t="shared" si="45"/>
        <v>-18.168282353740626</v>
      </c>
      <c r="F199" s="1">
        <f t="shared" si="46"/>
        <v>-85.076884012010311</v>
      </c>
      <c r="G199" s="1" t="str">
        <f>IMDIV(IMSUM(COMPLEX(V48_Nom,0),IMPRODUCT(COMPLEX(np*(Calculations!$B$28*(V12_Min/V48_Nom)),0),D199)),IMSUM(IMPRODUCT(COMPLEX(((V12_Min/V48_Nom)^2),0),D199),COMPLEX(Rcs/np,(Lm*C199)/np)))</f>
        <v>0.377079252289387-379.894602024478i</v>
      </c>
      <c r="H199" s="1">
        <f t="shared" si="50"/>
        <v>51.593266731762021</v>
      </c>
      <c r="I199" s="1">
        <f t="shared" si="51"/>
        <v>-89.9431288507716</v>
      </c>
      <c r="J199" s="82" t="str">
        <f>IMPRODUCT(COMPLEX(-1,0),IMDIV(IMSUM(IMSUB(IMPRODUCT(COMPLEX((1-(V12_Min/V48_Nom))*V48_Nom,0),D199),IMPRODUCT(COMPLEX(V48_Nom,0),D199)),IMPRODUCT(COMPLEX(0,Calculations!$B$28*Lm*C199),D199)),IMSUM(IMPRODUCT(COMPLEX(((V12_Min/V48_Nom)^2),0),D199),COMPLEX(Rcs/np,(Lm*C199)/np))))</f>
        <v>-8.62883042781854+0.735424267206694i</v>
      </c>
      <c r="K199" s="81">
        <f t="shared" si="52"/>
        <v>18.75047153831423</v>
      </c>
      <c r="L199" s="81">
        <f t="shared" si="53"/>
        <v>175.12852601926269</v>
      </c>
      <c r="M199" s="1">
        <f t="shared" si="47"/>
        <v>0.58181818181818179</v>
      </c>
      <c r="N199" s="81">
        <f t="shared" si="48"/>
        <v>0.02</v>
      </c>
      <c r="O199" s="81" t="str">
        <f t="shared" si="49"/>
        <v>1.55216683469252-2.2074091472882i</v>
      </c>
      <c r="P199" s="81">
        <f t="shared" si="54"/>
        <v>8.6224334044912538</v>
      </c>
      <c r="Q199" s="81">
        <f t="shared" si="55"/>
        <v>-54.886559745579142</v>
      </c>
      <c r="R199" s="81" t="str">
        <f t="shared" si="56"/>
        <v>-0.167871528043163-1.21043023157127i</v>
      </c>
      <c r="S199" s="81">
        <f t="shared" si="57"/>
        <v>1.7415352011665144</v>
      </c>
      <c r="T199" s="81">
        <f t="shared" si="58"/>
        <v>-97.895841347665851</v>
      </c>
      <c r="U199" s="81" t="str">
        <f>IMPRODUCT(COMPLEX(-1,0),IMDIV(COMPLEX(1,C199*Calculations!$B$248*Calculations!$B$250),IMPRODUCT(COMPLEX(0,C199*Calculations!$B$237),COMPLEX((Calculations!$B$250+Calculations!$B$252),C199*Calculations!$B$248*Calculations!$B$250*Calculations!$B$252))))</f>
        <v>-0.98007962846345+0.139917960601099i</v>
      </c>
      <c r="V199" s="81">
        <f t="shared" si="59"/>
        <v>-8.7149379044180617E-2</v>
      </c>
      <c r="W199" s="81">
        <f t="shared" si="60"/>
        <v>171.87524956153914</v>
      </c>
      <c r="X199" s="81">
        <f>Calculations!$B$216/(Calculations!$B$216+Calculations!$B$218)</f>
        <v>0.6875</v>
      </c>
      <c r="Y199" s="81" t="str">
        <f t="shared" si="61"/>
        <v>0.229548271071283+0.799445466732351i</v>
      </c>
      <c r="Z199" s="81">
        <f t="shared" si="62"/>
        <v>-1.6001601278316493</v>
      </c>
      <c r="AA199" s="81">
        <f t="shared" si="63"/>
        <v>73.979408213873313</v>
      </c>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row>
    <row r="200" spans="2:94">
      <c r="B200" s="1">
        <v>2782.5594022071282</v>
      </c>
      <c r="C200" s="1">
        <f t="shared" si="44"/>
        <v>17483.336352302242</v>
      </c>
      <c r="D200" s="80" t="str">
        <f>IMDIV(COMPLEX((POWER(V48_Nom,2)/(V12_Min*Calculations!$B$28*np)),((Zo_Boost_Cout*Zo_Boost_Resr*POWER(V48_Nom,2))/(V12_Min*Calculations!$B$28*np))*C200),COMPLEX(1,((Zo_Boost_Cout*Zo_Boost_Resr)+((Zo_Boost_Cout*POWER(V48_Nom,2))/(V12_Min*Calculations!$B$28*np)))*C200))</f>
        <v>0.0103561003630393-0.0952519192513536i</v>
      </c>
      <c r="E200" s="1">
        <f t="shared" si="45"/>
        <v>-20.371489482650741</v>
      </c>
      <c r="F200" s="1">
        <f t="shared" si="46"/>
        <v>-83.79498805954853</v>
      </c>
      <c r="G200" s="1" t="str">
        <f>IMDIV(IMSUM(COMPLEX(V48_Nom,0),IMPRODUCT(COMPLEX(np*(Calculations!$B$28*(V12_Min/V48_Nom)),0),D200)),IMSUM(IMPRODUCT(COMPLEX(((V12_Min/V48_Nom)^2),0),D200),COMPLEX(Rcs/np,(Lm*C200)/np)))</f>
        <v>0.196589405779549-290.865609244711i</v>
      </c>
      <c r="H200" s="1">
        <f t="shared" si="50"/>
        <v>49.273849485624211</v>
      </c>
      <c r="I200" s="1">
        <f t="shared" si="51"/>
        <v>-89.961275100338369</v>
      </c>
      <c r="J200" s="82" t="str">
        <f>IMPRODUCT(COMPLEX(-1,0),IMDIV(IMSUM(IMSUB(IMPRODUCT(COMPLEX((1-(V12_Min/V48_Nom))*V48_Nom,0),D200),IMPRODUCT(COMPLEX(V48_Nom,0),D200)),IMPRODUCT(COMPLEX(0,Calculations!$B$28*Lm*C200),D200)),IMSUM(IMPRODUCT(COMPLEX(((V12_Min/V48_Nom)^2),0),D200),COMPLEX(Rcs/np,(Lm*C200)/np))))</f>
        <v>-5.16428770968478+0.591597664128142i</v>
      </c>
      <c r="K200" s="81">
        <f t="shared" si="52"/>
        <v>14.316830196227697</v>
      </c>
      <c r="L200" s="81">
        <f t="shared" si="53"/>
        <v>173.46493928989975</v>
      </c>
      <c r="M200" s="1">
        <f t="shared" si="47"/>
        <v>0.58181818181818179</v>
      </c>
      <c r="N200" s="81">
        <f t="shared" si="48"/>
        <v>0.02</v>
      </c>
      <c r="O200" s="81" t="str">
        <f t="shared" si="49"/>
        <v>1.55164992669435-1.72703537353573i</v>
      </c>
      <c r="P200" s="81">
        <f t="shared" si="54"/>
        <v>7.3161041301482852</v>
      </c>
      <c r="Q200" s="81">
        <f t="shared" si="55"/>
        <v>-48.061982656382078</v>
      </c>
      <c r="R200" s="81" t="str">
        <f t="shared" si="56"/>
        <v>-0.203355598200975-0.961312766709739i</v>
      </c>
      <c r="S200" s="81">
        <f t="shared" si="57"/>
        <v>-0.15258636843445847</v>
      </c>
      <c r="T200" s="81">
        <f t="shared" si="58"/>
        <v>-101.94423278095681</v>
      </c>
      <c r="U200" s="81" t="str">
        <f>IMPRODUCT(COMPLEX(-1,0),IMDIV(COMPLEX(1,C200*Calculations!$B$248*Calculations!$B$250),IMPRODUCT(COMPLEX(0,C200*Calculations!$B$237),COMPLEX((Calculations!$B$250+Calculations!$B$252),C200*Calculations!$B$248*Calculations!$B$250*Calculations!$B$252))))</f>
        <v>-0.968459496802925+0.174863899453872i</v>
      </c>
      <c r="V200" s="81">
        <f t="shared" si="59"/>
        <v>-0.13904329899102399</v>
      </c>
      <c r="W200" s="81">
        <f t="shared" si="60"/>
        <v>169.76501636101514</v>
      </c>
      <c r="X200" s="81">
        <f>Calculations!$B$216/(Calculations!$B$216+Calculations!$B$218)</f>
        <v>0.6875</v>
      </c>
      <c r="Y200" s="81" t="str">
        <f t="shared" si="61"/>
        <v>0.250965384510107+0.615610136240512i</v>
      </c>
      <c r="Z200" s="81">
        <f t="shared" si="62"/>
        <v>-3.5461756173794754</v>
      </c>
      <c r="AA200" s="81">
        <f t="shared" si="63"/>
        <v>67.820783580058375</v>
      </c>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row>
    <row r="201" spans="2:94">
      <c r="B201" s="1">
        <v>3593.813663804628</v>
      </c>
      <c r="C201" s="1">
        <f t="shared" ref="C201:C228" si="64">2*PI()*B201</f>
        <v>22580.597209158477</v>
      </c>
      <c r="D201" s="80" t="str">
        <f>IMDIV(COMPLEX((POWER(V48_Nom,2)/(V12_Min*Calculations!$B$28*np)),((Zo_Boost_Cout*Zo_Boost_Resr*POWER(V48_Nom,2))/(V12_Min*Calculations!$B$28*np))*C201),COMPLEX(1,((Zo_Boost_Cout*Zo_Boost_Resr)+((Zo_Boost_Cout*POWER(V48_Nom,2))/(V12_Min*Calculations!$B$28*np)))*C201))</f>
        <v>0.0102118896017476-0.0737505238618433i</v>
      </c>
      <c r="E201" s="1">
        <f t="shared" ref="E201:E228" si="65">20*LOG(IMABS(D201))</f>
        <v>-22.562220229627066</v>
      </c>
      <c r="F201" s="1">
        <f t="shared" ref="F201:F223" si="66">IMARGUMENT(D201)*(180/PI())</f>
        <v>-82.116648310094433</v>
      </c>
      <c r="G201" s="1" t="str">
        <f>IMDIV(IMSUM(COMPLEX(V48_Nom,0),IMPRODUCT(COMPLEX(np*(Calculations!$B$28*(V12_Min/V48_Nom)),0),D201)),IMSUM(IMPRODUCT(COMPLEX(((V12_Min/V48_Nom)^2),0),D201),COMPLEX(Rcs/np,(Lm*C201)/np)))</f>
        <v>0.107620242896378-223.714242672445i</v>
      </c>
      <c r="H201" s="1">
        <f t="shared" si="50"/>
        <v>46.99387368806228</v>
      </c>
      <c r="I201" s="1">
        <f t="shared" si="51"/>
        <v>-89.97243722545862</v>
      </c>
      <c r="J201" s="82" t="str">
        <f>IMPRODUCT(COMPLEX(-1,0),IMDIV(IMSUM(IMSUB(IMPRODUCT(COMPLEX((1-(V12_Min/V48_Nom))*V48_Nom,0),D201),IMPRODUCT(COMPLEX(V48_Nom,0),D201)),IMPRODUCT(COMPLEX(0,Calculations!$B$28*Lm*C201),D201)),IMSUM(IMPRODUCT(COMPLEX(((V12_Min/V48_Nom)^2),0),D201),COMPLEX(Rcs/np,(Lm*C201)/np))))</f>
        <v>-3.12396708225344+0.467936094539969i</v>
      </c>
      <c r="K201" s="81">
        <f t="shared" si="52"/>
        <v>9.9904935455565163</v>
      </c>
      <c r="L201" s="81">
        <f t="shared" si="53"/>
        <v>171.48105474429852</v>
      </c>
      <c r="M201" s="1">
        <f t="shared" ref="M201:M228" si="67">1/(Kff*V48_Nom)</f>
        <v>0.58181818181818179</v>
      </c>
      <c r="N201" s="81">
        <f t="shared" ref="N201:N228" si="68">Rcs*Acs/np</f>
        <v>0.02</v>
      </c>
      <c r="O201" s="81" t="str">
        <f t="shared" ref="O201:O228" si="69">IMPRODUCT(COMPLEX(gm/(IL_Comp_Ccomp+IL_Comp_Chf),0),IMDIV(COMPLEX(1,C201*IL_Comp_Rcomp*IL_Comp_Ccomp),IMPRODUCT(COMPLEX(0,C201),COMPLEX(1,C201*IL_Comp_Rcomp*IL_Comp_Chf))))</f>
        <v>1.55078843790728-1.36030302740603i</v>
      </c>
      <c r="P201" s="81">
        <f t="shared" si="54"/>
        <v>6.289372362271636</v>
      </c>
      <c r="Q201" s="81">
        <f t="shared" si="55"/>
        <v>-41.25622436559037</v>
      </c>
      <c r="R201" s="81" t="str">
        <f t="shared" si="56"/>
        <v>-0.240516738051392-0.757428457675372i</v>
      </c>
      <c r="S201" s="81">
        <f t="shared" si="57"/>
        <v>-1.9959489443966967</v>
      </c>
      <c r="T201" s="81">
        <f t="shared" si="58"/>
        <v>-107.61692489499403</v>
      </c>
      <c r="U201" s="81" t="str">
        <f>IMPRODUCT(COMPLEX(-1,0),IMDIV(COMPLEX(1,C201*Calculations!$B$248*Calculations!$B$250),IMPRODUCT(COMPLEX(0,C201*Calculations!$B$237),COMPLEX((Calculations!$B$250+Calculations!$B$252),C201*Calculations!$B$248*Calculations!$B$250*Calculations!$B$252))))</f>
        <v>-0.949677233027284+0.218652718891162i</v>
      </c>
      <c r="V201" s="81">
        <f t="shared" si="59"/>
        <v>-0.22415455935395112</v>
      </c>
      <c r="W201" s="81">
        <f t="shared" si="60"/>
        <v>167.03423148184072</v>
      </c>
      <c r="X201" s="81">
        <f>Calculations!$B$216/(Calculations!$B$216+Calculations!$B$218)</f>
        <v>0.6875</v>
      </c>
      <c r="Y201" s="81" t="str">
        <f t="shared" si="61"/>
        <v>0.270893605073887+0.458372009691406i</v>
      </c>
      <c r="Z201" s="81">
        <f t="shared" si="62"/>
        <v>-5.4746494537046475</v>
      </c>
      <c r="AA201" s="81">
        <f t="shared" si="63"/>
        <v>59.417306586846657</v>
      </c>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row>
    <row r="202" spans="2:94">
      <c r="B202" s="1">
        <v>4641.5888336127782</v>
      </c>
      <c r="C202" s="1">
        <f t="shared" si="64"/>
        <v>29163.962761324641</v>
      </c>
      <c r="D202" s="80" t="str">
        <f>IMDIV(COMPLEX((POWER(V48_Nom,2)/(V12_Min*Calculations!$B$28*np)),((Zo_Boost_Cout*Zo_Boost_Resr*POWER(V48_Nom,2))/(V12_Min*Calculations!$B$28*np))*C202),COMPLEX(1,((Zo_Boost_Cout*Zo_Boost_Resr)+((Zo_Boost_Cout*POWER(V48_Nom,2))/(V12_Min*Calculations!$B$28*np)))*C202))</f>
        <v>0.0101254367302397-0.0571025481188361i</v>
      </c>
      <c r="E202" s="1">
        <f t="shared" si="65"/>
        <v>-24.732440166064727</v>
      </c>
      <c r="F202" s="1">
        <f t="shared" si="66"/>
        <v>-79.944816643357228</v>
      </c>
      <c r="G202" s="1" t="str">
        <f>IMDIV(IMSUM(COMPLEX(V48_Nom,0),IMPRODUCT(COMPLEX(np*(Calculations!$B$28*(V12_Min/V48_Nom)),0),D202)),IMSUM(IMPRODUCT(COMPLEX(((V12_Min/V48_Nom)^2),0),D202),COMPLEX(Rcs/np,(Lm*C202)/np)))</f>
        <v>0.0609138564907918-172.528370416076i</v>
      </c>
      <c r="H202" s="1">
        <f t="shared" si="50"/>
        <v>44.737210947187421</v>
      </c>
      <c r="I202" s="1">
        <f t="shared" si="51"/>
        <v>-89.979770824141269</v>
      </c>
      <c r="J202" s="82" t="str">
        <f>IMPRODUCT(COMPLEX(-1,0),IMDIV(IMSUM(IMSUB(IMPRODUCT(COMPLEX((1-(V12_Min/V48_Nom))*V48_Nom,0),D202),IMPRODUCT(COMPLEX(V48_Nom,0),D202)),IMPRODUCT(COMPLEX(0,Calculations!$B$28*Lm*C202),D202)),IMSUM(IMPRODUCT(COMPLEX(((V12_Min/V48_Nom)^2),0),D202),COMPLEX(Rcs/np,(Lm*C202)/np))))</f>
        <v>-1.91370500971102+0.366782099513158i</v>
      </c>
      <c r="K202" s="81">
        <f t="shared" si="52"/>
        <v>5.7941726021481452</v>
      </c>
      <c r="L202" s="81">
        <f t="shared" si="53"/>
        <v>169.15022345361396</v>
      </c>
      <c r="M202" s="1">
        <f t="shared" si="67"/>
        <v>0.58181818181818179</v>
      </c>
      <c r="N202" s="81">
        <f t="shared" si="68"/>
        <v>0.02</v>
      </c>
      <c r="O202" s="81" t="str">
        <f t="shared" si="69"/>
        <v>1.54935351480486-1.08305257992054i</v>
      </c>
      <c r="P202" s="81">
        <f t="shared" si="54"/>
        <v>5.5309368978410403</v>
      </c>
      <c r="Q202" s="81">
        <f t="shared" si="55"/>
        <v>-34.954901807421706</v>
      </c>
      <c r="R202" s="81" t="str">
        <f t="shared" si="56"/>
        <v>-0.273846991073947-0.583449199253629i</v>
      </c>
      <c r="S202" s="81">
        <f t="shared" si="57"/>
        <v>-3.8152813129156145</v>
      </c>
      <c r="T202" s="81">
        <f t="shared" si="58"/>
        <v>-115.14342412954953</v>
      </c>
      <c r="U202" s="81" t="str">
        <f>IMPRODUCT(COMPLEX(-1,0),IMDIV(COMPLEX(1,C202*Calculations!$B$248*Calculations!$B$250),IMPRODUCT(COMPLEX(0,C202*Calculations!$B$237),COMPLEX((Calculations!$B$250+Calculations!$B$252),C202*Calculations!$B$248*Calculations!$B$250*Calculations!$B$252))))</f>
        <v>-0.91991693278624+0.271441679338433i</v>
      </c>
      <c r="V202" s="81">
        <f t="shared" si="59"/>
        <v>-0.36246280976285339</v>
      </c>
      <c r="W202" s="81">
        <f t="shared" si="60"/>
        <v>163.5601486724878</v>
      </c>
      <c r="X202" s="81">
        <f>Calculations!$B$216/(Calculations!$B$216+Calculations!$B$218)</f>
        <v>0.6875</v>
      </c>
      <c r="Y202" s="81" t="str">
        <f t="shared" si="61"/>
        <v>0.282073628743194+0.317894026089129i</v>
      </c>
      <c r="Z202" s="81">
        <f t="shared" si="62"/>
        <v>-7.4322900726324717</v>
      </c>
      <c r="AA202" s="81">
        <f t="shared" si="63"/>
        <v>48.416724542938262</v>
      </c>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row>
    <row r="203" spans="2:94">
      <c r="B203" s="1">
        <v>5994.8425031894185</v>
      </c>
      <c r="C203" s="1">
        <f t="shared" si="64"/>
        <v>37666.706334895447</v>
      </c>
      <c r="D203" s="80" t="str">
        <f>IMDIV(COMPLEX((POWER(V48_Nom,2)/(V12_Min*Calculations!$B$28*np)),((Zo_Boost_Cout*Zo_Boost_Resr*POWER(V48_Nom,2))/(V12_Min*Calculations!$B$28*np))*C203),COMPLEX(1,((Zo_Boost_Cout*Zo_Boost_Resr)+((Zo_Boost_Cout*POWER(V48_Nom,2))/(V12_Min*Calculations!$B$28*np)))*C203))</f>
        <v>0.0100736093109629-0.0442125201326437i</v>
      </c>
      <c r="E203" s="1">
        <f t="shared" si="65"/>
        <v>-26.869294618531455</v>
      </c>
      <c r="F203" s="1">
        <f t="shared" si="66"/>
        <v>-77.164549995231823</v>
      </c>
      <c r="G203" s="1" t="str">
        <f>IMDIV(IMSUM(COMPLEX(V48_Nom,0),IMPRODUCT(COMPLEX(np*(Calculations!$B$28*(V12_Min/V48_Nom)),0),D203)),IMSUM(IMPRODUCT(COMPLEX(((V12_Min/V48_Nom)^2),0),D203),COMPLEX(Rcs/np,(Lm*C203)/np)))</f>
        <v>0.0352378504460788-133.26629788654i</v>
      </c>
      <c r="H203" s="1">
        <f t="shared" si="50"/>
        <v>42.494406968963823</v>
      </c>
      <c r="I203" s="1">
        <f t="shared" si="51"/>
        <v>-89.984850032644118</v>
      </c>
      <c r="J203" s="82" t="str">
        <f>IMPRODUCT(COMPLEX(-1,0),IMDIV(IMSUM(IMSUB(IMPRODUCT(COMPLEX((1-(V12_Min/V48_Nom))*V48_Nom,0),D203),IMPRODUCT(COMPLEX(V48_Nom,0),D203)),IMPRODUCT(COMPLEX(0,Calculations!$B$28*Lm*C203),D203)),IMSUM(IMPRODUCT(COMPLEX(((V12_Min/V48_Nom)^2),0),D203),COMPLEX(Rcs/np,(Lm*C203)/np))))</f>
        <v>-1.19274078084944+0.286033357560964i</v>
      </c>
      <c r="K203" s="81">
        <f t="shared" si="52"/>
        <v>1.7737650348231413</v>
      </c>
      <c r="L203" s="81">
        <f t="shared" si="53"/>
        <v>166.51446094543746</v>
      </c>
      <c r="M203" s="1">
        <f t="shared" si="67"/>
        <v>0.58181818181818179</v>
      </c>
      <c r="N203" s="81">
        <f t="shared" si="68"/>
        <v>0.02</v>
      </c>
      <c r="O203" s="81" t="str">
        <f t="shared" si="69"/>
        <v>1.54696581890601-0.876986515338013i</v>
      </c>
      <c r="P203" s="81">
        <f t="shared" si="54"/>
        <v>4.9999051448247913</v>
      </c>
      <c r="Q203" s="81">
        <f t="shared" si="55"/>
        <v>-29.549225704416486</v>
      </c>
      <c r="R203" s="81" t="str">
        <f t="shared" si="56"/>
        <v>-0.296404885262049-0.430998538600805i</v>
      </c>
      <c r="S203" s="81">
        <f t="shared" si="57"/>
        <v>-5.6285915115257534</v>
      </c>
      <c r="T203" s="81">
        <f t="shared" si="58"/>
        <v>-124.5169524868257</v>
      </c>
      <c r="U203" s="81" t="str">
        <f>IMPRODUCT(COMPLEX(-1,0),IMDIV(COMPLEX(1,C203*Calculations!$B$248*Calculations!$B$250),IMPRODUCT(COMPLEX(0,C203*Calculations!$B$237),COMPLEX((Calculations!$B$250+Calculations!$B$252),C203*Calculations!$B$248*Calculations!$B$250*Calculations!$B$252))))</f>
        <v>-0.874218280975922+0.331612484597271i</v>
      </c>
      <c r="V203" s="81">
        <f t="shared" si="59"/>
        <v>-0.58377055092097163</v>
      </c>
      <c r="W203" s="81">
        <f t="shared" si="60"/>
        <v>159.22703215986454</v>
      </c>
      <c r="X203" s="81">
        <f>Calculations!$B$216/(Calculations!$B$216+Calculations!$B$218)</f>
        <v>0.6875</v>
      </c>
      <c r="Y203" s="81" t="str">
        <f t="shared" si="61"/>
        <v>0.276407357538029+0.191465478235771i</v>
      </c>
      <c r="Z203" s="81">
        <f t="shared" si="62"/>
        <v>-9.466908012400717</v>
      </c>
      <c r="AA203" s="81">
        <f t="shared" si="63"/>
        <v>34.710079673038706</v>
      </c>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4"/>
      <c r="CD203" s="44"/>
      <c r="CE203" s="44"/>
      <c r="CF203" s="44"/>
      <c r="CG203" s="44"/>
      <c r="CH203" s="44"/>
      <c r="CI203" s="44"/>
      <c r="CJ203" s="44"/>
      <c r="CK203" s="44"/>
      <c r="CL203" s="44"/>
      <c r="CM203" s="44"/>
      <c r="CN203" s="44"/>
      <c r="CO203" s="44"/>
      <c r="CP203" s="44"/>
    </row>
    <row r="204" spans="2:94">
      <c r="B204" s="1">
        <v>7742.6368268112792</v>
      </c>
      <c r="C204" s="1">
        <f t="shared" si="64"/>
        <v>48648.421949048206</v>
      </c>
      <c r="D204" s="80" t="str">
        <f>IMDIV(COMPLEX((POWER(V48_Nom,2)/(V12_Min*Calculations!$B$28*np)),((Zo_Boost_Cout*Zo_Boost_Resr*POWER(V48_Nom,2))/(V12_Min*Calculations!$B$28*np))*C204),COMPLEX(1,((Zo_Boost_Cout*Zo_Boost_Resr)+((Zo_Boost_Cout*POWER(V48_Nom,2))/(V12_Min*Calculations!$B$28*np)))*C204))</f>
        <v>0.0100425394871584-0.0342321908672555i</v>
      </c>
      <c r="E204" s="1">
        <f t="shared" si="65"/>
        <v>-28.952754945641654</v>
      </c>
      <c r="F204" s="1">
        <f t="shared" si="66"/>
        <v>-73.650138101257681</v>
      </c>
      <c r="G204" s="1" t="str">
        <f>IMDIV(IMSUM(COMPLEX(V48_Nom,0),IMPRODUCT(COMPLEX(np*(Calculations!$B$28*(V12_Min/V48_Nom)),0),D204)),IMSUM(IMPRODUCT(COMPLEX(((V12_Min/V48_Nom)^2),0),D204),COMPLEX(Rcs/np,(Lm*C204)/np)))</f>
        <v>0.0206682201723673-103.037061591128i</v>
      </c>
      <c r="H204" s="1">
        <f t="shared" si="50"/>
        <v>40.259869474563331</v>
      </c>
      <c r="I204" s="1">
        <f t="shared" si="51"/>
        <v>-89.988507030851295</v>
      </c>
      <c r="J204" s="82" t="str">
        <f>IMPRODUCT(COMPLEX(-1,0),IMDIV(IMSUM(IMSUB(IMPRODUCT(COMPLEX((1-(V12_Min/V48_Nom))*V48_Nom,0),D204),IMPRODUCT(COMPLEX(V48_Nom,0),D204)),IMPRODUCT(COMPLEX(0,Calculations!$B$28*Lm*C204),D204)),IMSUM(IMPRODUCT(COMPLEX(((V12_Min/V48_Nom)^2),0),D204),COMPLEX(Rcs/np,(Lm*C204)/np))))</f>
        <v>-0.76216343636141+0.222407167176252i</v>
      </c>
      <c r="K204" s="81">
        <f t="shared" si="52"/>
        <v>-2.0041269543132429</v>
      </c>
      <c r="L204" s="81">
        <f t="shared" si="53"/>
        <v>163.73220938767329</v>
      </c>
      <c r="M204" s="1">
        <f t="shared" si="67"/>
        <v>0.58181818181818179</v>
      </c>
      <c r="N204" s="81">
        <f t="shared" si="68"/>
        <v>0.02</v>
      </c>
      <c r="O204" s="81" t="str">
        <f t="shared" si="69"/>
        <v>1.5429992370107-0.728434369309639i</v>
      </c>
      <c r="P204" s="81">
        <f t="shared" si="54"/>
        <v>4.6411131643789547</v>
      </c>
      <c r="Q204" s="81">
        <f t="shared" si="55"/>
        <v>-25.271523202310117</v>
      </c>
      <c r="R204" s="81" t="str">
        <f t="shared" si="56"/>
        <v>-0.302960532044216-0.298073432385763i</v>
      </c>
      <c r="S204" s="81">
        <f t="shared" si="57"/>
        <v>-7.432032535896016</v>
      </c>
      <c r="T204" s="81">
        <f t="shared" si="58"/>
        <v>-135.46587053358925</v>
      </c>
      <c r="U204" s="81" t="str">
        <f>IMPRODUCT(COMPLEX(-1,0),IMDIV(COMPLEX(1,C204*Calculations!$B$248*Calculations!$B$250),IMPRODUCT(COMPLEX(0,C204*Calculations!$B$237),COMPLEX((Calculations!$B$250+Calculations!$B$252),C204*Calculations!$B$248*Calculations!$B$250*Calculations!$B$252))))</f>
        <v>-0.807318897486592+0.39440905979824i</v>
      </c>
      <c r="V204" s="81">
        <f t="shared" si="59"/>
        <v>-0.92953046516882121</v>
      </c>
      <c r="W204" s="81">
        <f t="shared" si="60"/>
        <v>153.96255549690821</v>
      </c>
      <c r="X204" s="81">
        <f>Calculations!$B$216/(Calculations!$B$216+Calculations!$B$218)</f>
        <v>0.6875</v>
      </c>
      <c r="Y204" s="81" t="str">
        <f t="shared" si="61"/>
        <v>0.248977179639369+0.0832905811403772i</v>
      </c>
      <c r="Z204" s="81">
        <f t="shared" si="62"/>
        <v>-11.616108951018822</v>
      </c>
      <c r="AA204" s="81">
        <f t="shared" si="63"/>
        <v>18.496684963318991</v>
      </c>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4"/>
      <c r="CD204" s="44"/>
      <c r="CE204" s="44"/>
      <c r="CF204" s="44"/>
      <c r="CG204" s="44"/>
      <c r="CH204" s="44"/>
      <c r="CI204" s="44"/>
      <c r="CJ204" s="44"/>
      <c r="CK204" s="44"/>
      <c r="CL204" s="44"/>
      <c r="CM204" s="44"/>
      <c r="CN204" s="44"/>
      <c r="CO204" s="44"/>
      <c r="CP204" s="44"/>
    </row>
    <row r="205" spans="2:94">
      <c r="B205" s="1">
        <v>10000</v>
      </c>
      <c r="C205" s="1">
        <f t="shared" si="64"/>
        <v>62831.853071795864</v>
      </c>
      <c r="D205" s="80" t="str">
        <f>IMDIV(COMPLEX((POWER(V48_Nom,2)/(V12_Min*Calculations!$B$28*np)),((Zo_Boost_Cout*Zo_Boost_Resr*POWER(V48_Nom,2))/(V12_Min*Calculations!$B$28*np))*C205),COMPLEX(1,((Zo_Boost_Cout*Zo_Boost_Resr)+((Zo_Boost_Cout*POWER(V48_Nom,2))/(V12_Min*Calculations!$B$28*np)))*C205))</f>
        <v>0.0100239135803937-0.0265047617587254i</v>
      </c>
      <c r="E205" s="1">
        <f t="shared" si="65"/>
        <v>-30.952946013467443</v>
      </c>
      <c r="F205" s="1">
        <f t="shared" si="66"/>
        <v>-69.283736256119028</v>
      </c>
      <c r="G205" s="1" t="str">
        <f>IMDIV(IMSUM(COMPLEX(V48_Nom,0),IMPRODUCT(COMPLEX(np*(Calculations!$B$28*(V12_Min/V48_Nom)),0),D205)),IMSUM(IMPRODUCT(COMPLEX(((V12_Min/V48_Nom)^2),0),D205),COMPLEX(Rcs/np,(Lm*C205)/np)))</f>
        <v>0.0122269976442663-79.7101510158534i</v>
      </c>
      <c r="H205" s="1">
        <f t="shared" si="50"/>
        <v>38.030272740761376</v>
      </c>
      <c r="I205" s="1">
        <f t="shared" si="51"/>
        <v>-89.991211215300567</v>
      </c>
      <c r="J205" s="82" t="str">
        <f>IMPRODUCT(COMPLEX(-1,0),IMDIV(IMSUM(IMSUB(IMPRODUCT(COMPLEX((1-(V12_Min/V48_Nom))*V48_Nom,0),D205),IMPRODUCT(COMPLEX(V48_Nom,0),D205)),IMPRODUCT(COMPLEX(0,Calculations!$B$28*Lm*C205),D205)),IMSUM(IMPRODUCT(COMPLEX(((V12_Min/V48_Nom)^2),0),D205),COMPLEX(Rcs/np,(Lm*C205)/np))))</f>
        <v>-0.504621969613284+0.172636690472705i</v>
      </c>
      <c r="K205" s="81">
        <f t="shared" si="52"/>
        <v>-5.4599901006646583</v>
      </c>
      <c r="L205" s="81">
        <f t="shared" si="53"/>
        <v>161.11362204964311</v>
      </c>
      <c r="M205" s="1">
        <f t="shared" si="67"/>
        <v>0.58181818181818179</v>
      </c>
      <c r="N205" s="81">
        <f t="shared" si="68"/>
        <v>0.02</v>
      </c>
      <c r="O205" s="81" t="str">
        <f t="shared" si="69"/>
        <v>1.53642765329322-0.627388158135513i</v>
      </c>
      <c r="P205" s="81">
        <f t="shared" si="54"/>
        <v>4.399995476763551</v>
      </c>
      <c r="Q205" s="81">
        <f t="shared" si="55"/>
        <v>-22.212263232076765</v>
      </c>
      <c r="R205" s="81" t="str">
        <f t="shared" si="56"/>
        <v>-0.292273095656297-0.186516371925579i</v>
      </c>
      <c r="S205" s="81">
        <f t="shared" si="57"/>
        <v>-9.2005246835058418</v>
      </c>
      <c r="T205" s="81">
        <f t="shared" si="58"/>
        <v>-147.45569691233473</v>
      </c>
      <c r="U205" s="81" t="str">
        <f>IMPRODUCT(COMPLEX(-1,0),IMDIV(COMPLEX(1,C205*Calculations!$B$248*Calculations!$B$250),IMPRODUCT(COMPLEX(0,C205*Calculations!$B$237),COMPLEX((Calculations!$B$250+Calculations!$B$252),C205*Calculations!$B$248*Calculations!$B$250*Calculations!$B$252))))</f>
        <v>-0.715929705692125+0.450972477731005i</v>
      </c>
      <c r="V205" s="81">
        <f t="shared" si="59"/>
        <v>-1.4512851717799178</v>
      </c>
      <c r="W205" s="81">
        <f t="shared" si="60"/>
        <v>147.79269532772793</v>
      </c>
      <c r="X205" s="81">
        <f>Calculations!$B$216/(Calculations!$B$216+Calculations!$B$218)</f>
        <v>0.6875</v>
      </c>
      <c r="Y205" s="81" t="str">
        <f t="shared" si="61"/>
        <v>0.201685509945985+0.00118627378183282i</v>
      </c>
      <c r="Z205" s="81">
        <f t="shared" si="62"/>
        <v>-13.90635580523977</v>
      </c>
      <c r="AA205" s="81">
        <f t="shared" si="63"/>
        <v>0.33699841539321918</v>
      </c>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4"/>
      <c r="CD205" s="44"/>
      <c r="CE205" s="44"/>
      <c r="CF205" s="44"/>
      <c r="CG205" s="44"/>
      <c r="CH205" s="44"/>
      <c r="CI205" s="44"/>
      <c r="CJ205" s="44"/>
      <c r="CK205" s="44"/>
      <c r="CL205" s="44"/>
      <c r="CM205" s="44"/>
      <c r="CN205" s="44"/>
      <c r="CO205" s="44"/>
      <c r="CP205" s="44"/>
    </row>
    <row r="206" spans="2:94">
      <c r="B206" s="1">
        <v>12915.496650148847</v>
      </c>
      <c r="C206" s="1">
        <f t="shared" si="64"/>
        <v>81150.458787142401</v>
      </c>
      <c r="D206" s="80" t="str">
        <f>IMDIV(COMPLEX((POWER(V48_Nom,2)/(V12_Min*Calculations!$B$28*np)),((Zo_Boost_Cout*Zo_Boost_Resr*POWER(V48_Nom,2))/(V12_Min*Calculations!$B$28*np))*C206),COMPLEX(1,((Zo_Boost_Cout*Zo_Boost_Resr)+((Zo_Boost_Cout*POWER(V48_Nom,2))/(V12_Min*Calculations!$B$28*np)))*C206))</f>
        <v>0.0100127476294389-0.020521683541523i</v>
      </c>
      <c r="E206" s="1">
        <f t="shared" si="65"/>
        <v>-32.828334623421469</v>
      </c>
      <c r="F206" s="1">
        <f t="shared" si="66"/>
        <v>-63.99175968885266</v>
      </c>
      <c r="G206" s="1" t="str">
        <f>IMDIV(IMSUM(COMPLEX(V48_Nom,0),IMPRODUCT(COMPLEX(np*(Calculations!$B$28*(V12_Min/V48_Nom)),0),D206)),IMSUM(IMPRODUCT(COMPLEX(((V12_Min/V48_Nom)^2),0),D206),COMPLEX(Rcs/np,(Lm*C206)/np)))</f>
        <v>0.00727136836096375-61.6852922425662i</v>
      </c>
      <c r="H206" s="1">
        <f t="shared" si="50"/>
        <v>35.803632592445346</v>
      </c>
      <c r="I206" s="1">
        <f t="shared" si="51"/>
        <v>-89.993246060749769</v>
      </c>
      <c r="J206" s="82" t="str">
        <f>IMPRODUCT(COMPLEX(-1,0),IMDIV(IMSUM(IMSUB(IMPRODUCT(COMPLEX((1-(V12_Min/V48_Nom))*V48_Nom,0),D206),IMPRODUCT(COMPLEX(V48_Nom,0),D206)),IMPRODUCT(COMPLEX(0,Calculations!$B$28*Lm*C206),D206)),IMSUM(IMPRODUCT(COMPLEX(((V12_Min/V48_Nom)^2),0),D206),COMPLEX(Rcs/np,(Lm*C206)/np))))</f>
        <v>-0.35043881238337+0.133867542887184i</v>
      </c>
      <c r="K206" s="81">
        <f t="shared" si="52"/>
        <v>-8.5161985391547823</v>
      </c>
      <c r="L206" s="81">
        <f t="shared" si="53"/>
        <v>159.09315501328626</v>
      </c>
      <c r="M206" s="1">
        <f t="shared" si="67"/>
        <v>0.58181818181818179</v>
      </c>
      <c r="N206" s="81">
        <f t="shared" si="68"/>
        <v>0.02</v>
      </c>
      <c r="O206" s="81" t="str">
        <f t="shared" si="69"/>
        <v>1.52558927803437-0.566708722740236i</v>
      </c>
      <c r="P206" s="81">
        <f t="shared" si="54"/>
        <v>4.2301332839271604</v>
      </c>
      <c r="Q206" s="81">
        <f t="shared" si="55"/>
        <v>-20.37845752220575</v>
      </c>
      <c r="R206" s="81" t="str">
        <f t="shared" si="56"/>
        <v>-0.267536591523181-0.0987788518106179i</v>
      </c>
      <c r="S206" s="81">
        <f t="shared" si="57"/>
        <v>-10.897327310766023</v>
      </c>
      <c r="T206" s="81">
        <f t="shared" si="58"/>
        <v>-159.73503560640381</v>
      </c>
      <c r="U206" s="81" t="str">
        <f>IMPRODUCT(COMPLEX(-1,0),IMDIV(COMPLEX(1,C206*Calculations!$B$248*Calculations!$B$250),IMPRODUCT(COMPLEX(0,C206*Calculations!$B$237),COMPLEX((Calculations!$B$250+Calculations!$B$252),C206*Calculations!$B$248*Calculations!$B$250*Calculations!$B$252))))</f>
        <v>-0.602213485238109+0.48944184322909i</v>
      </c>
      <c r="V206" s="81">
        <f t="shared" si="59"/>
        <v>-2.2024886417008607</v>
      </c>
      <c r="W206" s="81">
        <f t="shared" si="60"/>
        <v>140.89792472905233</v>
      </c>
      <c r="X206" s="81">
        <f>Calculations!$B$216/(Calculations!$B$216+Calculations!$B$218)</f>
        <v>0.6875</v>
      </c>
      <c r="Y206" s="81" t="str">
        <f t="shared" si="61"/>
        <v>0.144004194477097-0.0491271315353796i</v>
      </c>
      <c r="Z206" s="81">
        <f t="shared" si="62"/>
        <v>-16.354361902420877</v>
      </c>
      <c r="AA206" s="81">
        <f t="shared" si="63"/>
        <v>-18.837110877351499</v>
      </c>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4"/>
      <c r="CD206" s="44"/>
      <c r="CE206" s="44"/>
      <c r="CF206" s="44"/>
      <c r="CG206" s="44"/>
      <c r="CH206" s="44"/>
      <c r="CI206" s="44"/>
      <c r="CJ206" s="44"/>
      <c r="CK206" s="44"/>
      <c r="CL206" s="44"/>
      <c r="CM206" s="44"/>
      <c r="CN206" s="44"/>
      <c r="CO206" s="44"/>
      <c r="CP206" s="44"/>
    </row>
    <row r="207" spans="2:94">
      <c r="B207" s="1">
        <v>16681.005372000593</v>
      </c>
      <c r="C207" s="1">
        <f t="shared" si="64"/>
        <v>104809.84786233788</v>
      </c>
      <c r="D207" s="80" t="str">
        <f>IMDIV(COMPLEX((POWER(V48_Nom,2)/(V12_Min*Calculations!$B$28*np)),((Zo_Boost_Cout*Zo_Boost_Resr*POWER(V48_Nom,2))/(V12_Min*Calculations!$B$28*np))*C207),COMPLEX(1,((Zo_Boost_Cout*Zo_Boost_Resr)+((Zo_Boost_Cout*POWER(V48_Nom,2))/(V12_Min*Calculations!$B$28*np)))*C207))</f>
        <v>0.0100060538129573-0.0158891984945668i</v>
      </c>
      <c r="E207" s="1">
        <f t="shared" si="65"/>
        <v>-34.52732790735832</v>
      </c>
      <c r="F207" s="1">
        <f t="shared" si="66"/>
        <v>-57.799763726764553</v>
      </c>
      <c r="G207" s="1" t="str">
        <f>IMDIV(IMSUM(COMPLEX(V48_Nom,0),IMPRODUCT(COMPLEX(np*(Calculations!$B$28*(V12_Min/V48_Nom)),0),D207)),IMSUM(IMPRODUCT(COMPLEX(((V12_Min/V48_Nom)^2),0),D207),COMPLEX(Rcs/np,(Lm*C207)/np)))</f>
        <v>0.00433807136848658-47.7461267161276i</v>
      </c>
      <c r="H207" s="1">
        <f t="shared" si="50"/>
        <v>33.578762961977958</v>
      </c>
      <c r="I207" s="1">
        <f t="shared" si="51"/>
        <v>-89.994794275534957</v>
      </c>
      <c r="J207" s="82" t="str">
        <f>IMPRODUCT(COMPLEX(-1,0),IMDIV(IMSUM(IMSUB(IMPRODUCT(COMPLEX((1-(V12_Min/V48_Nom))*V48_Nom,0),D207),IMPRODUCT(COMPLEX(V48_Nom,0),D207)),IMPRODUCT(COMPLEX(0,Calculations!$B$28*Lm*C207),D207)),IMSUM(IMPRODUCT(COMPLEX(((V12_Min/V48_Nom)^2),0),D207),COMPLEX(Rcs/np,(Lm*C207)/np))))</f>
        <v>-0.258083387389881+0.103741999006469i</v>
      </c>
      <c r="K207" s="81">
        <f t="shared" si="52"/>
        <v>-11.114305622463402</v>
      </c>
      <c r="L207" s="81">
        <f t="shared" si="53"/>
        <v>158.10131061787854</v>
      </c>
      <c r="M207" s="1">
        <f t="shared" si="67"/>
        <v>0.58181818181818179</v>
      </c>
      <c r="N207" s="81">
        <f t="shared" si="68"/>
        <v>0.02</v>
      </c>
      <c r="O207" s="81" t="str">
        <f t="shared" si="69"/>
        <v>1.50784610414284-0.541381489702324i</v>
      </c>
      <c r="P207" s="81">
        <f t="shared" si="54"/>
        <v>4.0937406004775401</v>
      </c>
      <c r="Q207" s="81">
        <f t="shared" si="55"/>
        <v>-19.750317091903632</v>
      </c>
      <c r="R207" s="81" t="str">
        <f t="shared" si="56"/>
        <v>-0.234980043952662-0.0351148655745064i</v>
      </c>
      <c r="S207" s="81">
        <f t="shared" si="57"/>
        <v>-12.483462488904015</v>
      </c>
      <c r="T207" s="81">
        <f t="shared" si="58"/>
        <v>-171.50074826228689</v>
      </c>
      <c r="U207" s="81" t="str">
        <f>IMPRODUCT(COMPLEX(-1,0),IMDIV(COMPLEX(1,C207*Calculations!$B$248*Calculations!$B$250),IMPRODUCT(COMPLEX(0,C207*Calculations!$B$237),COMPLEX((Calculations!$B$250+Calculations!$B$252),C207*Calculations!$B$248*Calculations!$B$250*Calculations!$B$252))))</f>
        <v>-0.476074535969454+0.499427678000356i</v>
      </c>
      <c r="V207" s="81">
        <f t="shared" si="59"/>
        <v>-3.2232465187636712</v>
      </c>
      <c r="W207" s="81">
        <f t="shared" si="60"/>
        <v>133.62862335555207</v>
      </c>
      <c r="X207" s="81">
        <f>Calculations!$B$216/(Calculations!$B$216+Calculations!$B$218)</f>
        <v>0.6875</v>
      </c>
      <c r="Y207" s="81" t="str">
        <f t="shared" si="61"/>
        <v>0.088966178925261-0.0691887930206598i</v>
      </c>
      <c r="Z207" s="81">
        <f t="shared" si="62"/>
        <v>-18.961254957621666</v>
      </c>
      <c r="AA207" s="81">
        <f t="shared" si="63"/>
        <v>-37.872124906734882</v>
      </c>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4"/>
      <c r="CD207" s="44"/>
      <c r="CE207" s="44"/>
      <c r="CF207" s="44"/>
      <c r="CG207" s="44"/>
      <c r="CH207" s="44"/>
      <c r="CI207" s="44"/>
      <c r="CJ207" s="44"/>
      <c r="CK207" s="44"/>
      <c r="CL207" s="44"/>
      <c r="CM207" s="44"/>
      <c r="CN207" s="44"/>
      <c r="CO207" s="44"/>
      <c r="CP207" s="44"/>
    </row>
    <row r="208" spans="2:94">
      <c r="B208" s="1">
        <v>21544.346900318837</v>
      </c>
      <c r="C208" s="1">
        <f t="shared" si="64"/>
        <v>135367.12389686337</v>
      </c>
      <c r="D208" s="80" t="str">
        <f>IMDIV(COMPLEX((POWER(V48_Nom,2)/(V12_Min*Calculations!$B$28*np)),((Zo_Boost_Cout*Zo_Boost_Resr*POWER(V48_Nom,2))/(V12_Min*Calculations!$B$28*np))*C208),COMPLEX(1,((Zo_Boost_Cout*Zo_Boost_Resr)+((Zo_Boost_Cout*POWER(V48_Nom,2))/(V12_Min*Calculations!$B$28*np)))*C208))</f>
        <v>0.010002040973697-0.0123024313004193i</v>
      </c>
      <c r="E208" s="1">
        <f t="shared" si="65"/>
        <v>-35.996508971805</v>
      </c>
      <c r="F208" s="1">
        <f t="shared" si="66"/>
        <v>-50.888428435245096</v>
      </c>
      <c r="G208" s="1" t="str">
        <f>IMDIV(IMSUM(COMPLEX(V48_Nom,0),IMPRODUCT(COMPLEX(np*(Calculations!$B$28*(V12_Min/V48_Nom)),0),D208)),IMSUM(IMPRODUCT(COMPLEX(((V12_Min/V48_Nom)^2),0),D208),COMPLEX(Rcs/np,(Lm*C208)/np)))</f>
        <v>0.00259306576360508-36.9613394338611i</v>
      </c>
      <c r="H208" s="1">
        <f t="shared" si="50"/>
        <v>31.354954044087087</v>
      </c>
      <c r="I208" s="1">
        <f t="shared" si="51"/>
        <v>-89.995980347945007</v>
      </c>
      <c r="J208" s="82" t="str">
        <f>IMPRODUCT(COMPLEX(-1,0),IMDIV(IMSUM(IMSUB(IMPRODUCT(COMPLEX((1-(V12_Min/V48_Nom))*V48_Nom,0),D208),IMPRODUCT(COMPLEX(V48_Nom,0),D208)),IMPRODUCT(COMPLEX(0,Calculations!$B$28*Lm*C208),D208)),IMSUM(IMPRODUCT(COMPLEX(((V12_Min/V48_Nom)^2),0),D208),COMPLEX(Rcs/np,(Lm*C208)/np))))</f>
        <v>-0.202744673467269+0.080366882893569i</v>
      </c>
      <c r="K208" s="81">
        <f t="shared" si="52"/>
        <v>-13.227194520181573</v>
      </c>
      <c r="L208" s="81">
        <f t="shared" si="53"/>
        <v>158.37689547073521</v>
      </c>
      <c r="M208" s="1">
        <f t="shared" si="67"/>
        <v>0.58181818181818179</v>
      </c>
      <c r="N208" s="81">
        <f t="shared" si="68"/>
        <v>0.02</v>
      </c>
      <c r="O208" s="81" t="str">
        <f t="shared" si="69"/>
        <v>1.47914966415463-0.547650649937063i</v>
      </c>
      <c r="P208" s="81">
        <f t="shared" si="54"/>
        <v>3.9581632993232976</v>
      </c>
      <c r="Q208" s="81">
        <f t="shared" si="55"/>
        <v>-20.316918063355025</v>
      </c>
      <c r="R208" s="81" t="str">
        <f t="shared" si="56"/>
        <v>-0.201085127010259+0.00763345265018934i</v>
      </c>
      <c r="S208" s="81">
        <f t="shared" si="57"/>
        <v>-13.92614706441455</v>
      </c>
      <c r="T208" s="81">
        <f t="shared" si="58"/>
        <v>177.82602165388244</v>
      </c>
      <c r="U208" s="81" t="str">
        <f>IMPRODUCT(COMPLEX(-1,0),IMDIV(COMPLEX(1,C208*Calculations!$B$248*Calculations!$B$250),IMPRODUCT(COMPLEX(0,C208*Calculations!$B$237),COMPLEX((Calculations!$B$250+Calculations!$B$252),C208*Calculations!$B$248*Calculations!$B$250*Calculations!$B$252))))</f>
        <v>-0.352805015748188+0.47784289169717i</v>
      </c>
      <c r="V208" s="81">
        <f t="shared" si="59"/>
        <v>-4.5246501222589179</v>
      </c>
      <c r="W208" s="81">
        <f t="shared" si="60"/>
        <v>126.4395080437962</v>
      </c>
      <c r="X208" s="81">
        <f>Calculations!$B$216/(Calculations!$B$216+Calculations!$B$218)</f>
        <v>0.6875</v>
      </c>
      <c r="Y208" s="81" t="str">
        <f t="shared" si="61"/>
        <v>0.0462661720905869-0.0679114005283574i</v>
      </c>
      <c r="Z208" s="81">
        <f t="shared" si="62"/>
        <v>-21.705343136627459</v>
      </c>
      <c r="AA208" s="81">
        <f t="shared" si="63"/>
        <v>-55.734470302321384</v>
      </c>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row>
    <row r="209" spans="1:94">
      <c r="B209" s="1">
        <v>27825.594022071291</v>
      </c>
      <c r="C209" s="1">
        <f t="shared" si="64"/>
        <v>174833.36352302248</v>
      </c>
      <c r="D209" s="80" t="str">
        <f>IMDIV(COMPLEX((POWER(V48_Nom,2)/(V12_Min*Calculations!$B$28*np)),((Zo_Boost_Cout*Zo_Boost_Resr*POWER(V48_Nom,2))/(V12_Min*Calculations!$B$28*np))*C209),COMPLEX(1,((Zo_Boost_Cout*Zo_Boost_Resr)+((Zo_Boost_Cout*POWER(V48_Nom,2))/(V12_Min*Calculations!$B$28*np)))*C209))</f>
        <v>0.00999963533914867-0.00952532667395808i</v>
      </c>
      <c r="E209" s="1">
        <f t="shared" si="65"/>
        <v>-37.195933893627341</v>
      </c>
      <c r="F209" s="1">
        <f t="shared" si="66"/>
        <v>-43.60842029393725</v>
      </c>
      <c r="G209" s="1" t="str">
        <f>IMDIV(IMSUM(COMPLEX(V48_Nom,0),IMPRODUCT(COMPLEX(np*(Calculations!$B$28*(V12_Min/V48_Nom)),0),D209)),IMSUM(IMPRODUCT(COMPLEX(((V12_Min/V48_Nom)^2),0),D209),COMPLEX(Rcs/np,(Lm*C209)/np)))</f>
        <v>0.00155179398852924-28.6146894793465i</v>
      </c>
      <c r="H209" s="1">
        <f t="shared" si="50"/>
        <v>29.13178076070583</v>
      </c>
      <c r="I209" s="1">
        <f t="shared" si="51"/>
        <v>-89.996892811078965</v>
      </c>
      <c r="J209" s="82" t="str">
        <f>IMPRODUCT(COMPLEX(-1,0),IMDIV(IMSUM(IMSUB(IMPRODUCT(COMPLEX((1-(V12_Min/V48_Nom))*V48_Nom,0),D209),IMPRODUCT(COMPLEX(V48_Nom,0),D209)),IMPRODUCT(COMPLEX(0,Calculations!$B$28*Lm*C209),D209)),IMSUM(IMPRODUCT(COMPLEX(((V12_Min/V48_Nom)^2),0),D209),COMPLEX(Rcs/np,(Lm*C209)/np))))</f>
        <v>-0.16957965082406+0.0622452062938382i</v>
      </c>
      <c r="K209" s="81">
        <f t="shared" si="52"/>
        <v>-14.86359985206418</v>
      </c>
      <c r="L209" s="81">
        <f t="shared" si="53"/>
        <v>159.84404209537044</v>
      </c>
      <c r="M209" s="1">
        <f t="shared" si="67"/>
        <v>0.58181818181818179</v>
      </c>
      <c r="N209" s="81">
        <f t="shared" si="68"/>
        <v>0.02</v>
      </c>
      <c r="O209" s="81" t="str">
        <f t="shared" si="69"/>
        <v>1.43363698282237-0.581795914488042i</v>
      </c>
      <c r="P209" s="81">
        <f t="shared" si="54"/>
        <v>3.7908813199184106</v>
      </c>
      <c r="Q209" s="81">
        <f t="shared" si="55"/>
        <v>-22.088207292839151</v>
      </c>
      <c r="R209" s="81" t="str">
        <f t="shared" si="56"/>
        <v>-0.169986189110109+0.0349446593503979i</v>
      </c>
      <c r="S209" s="81">
        <f t="shared" si="57"/>
        <v>-15.211964572326846</v>
      </c>
      <c r="T209" s="81">
        <f t="shared" si="58"/>
        <v>168.38334228609924</v>
      </c>
      <c r="U209" s="81" t="str">
        <f>IMPRODUCT(COMPLEX(-1,0),IMDIV(COMPLEX(1,C209*Calculations!$B$248*Calculations!$B$250),IMPRODUCT(COMPLEX(0,C209*Calculations!$B$237),COMPLEX((Calculations!$B$250+Calculations!$B$252),C209*Calculations!$B$248*Calculations!$B$250*Calculations!$B$252))))</f>
        <v>-0.246386040353586+0.430906068741769i</v>
      </c>
      <c r="V209" s="81">
        <f t="shared" si="59"/>
        <v>-6.0838375982101676</v>
      </c>
      <c r="W209" s="81">
        <f t="shared" si="60"/>
        <v>119.76031533706265</v>
      </c>
      <c r="X209" s="81">
        <f>Calculations!$B$216/(Calculations!$B$216+Calculations!$B$218)</f>
        <v>0.6875</v>
      </c>
      <c r="Y209" s="81" t="str">
        <f t="shared" si="61"/>
        <v>0.0184417463074868-0.0562773452578435i</v>
      </c>
      <c r="Z209" s="81">
        <f t="shared" si="62"/>
        <v>-24.550348120491009</v>
      </c>
      <c r="AA209" s="81">
        <f t="shared" si="63"/>
        <v>-71.856342376838128</v>
      </c>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row>
    <row r="210" spans="1:94">
      <c r="B210" s="1">
        <v>35938.136638046322</v>
      </c>
      <c r="C210" s="1">
        <f t="shared" si="64"/>
        <v>225805.97209158502</v>
      </c>
      <c r="D210" s="80" t="str">
        <f>IMDIV(COMPLEX((POWER(V48_Nom,2)/(V12_Min*Calculations!$B$28*np)),((Zo_Boost_Cout*Zo_Boost_Resr*POWER(V48_Nom,2))/(V12_Min*Calculations!$B$28*np))*C210),COMPLEX(1,((Zo_Boost_Cout*Zo_Boost_Resr)+((Zo_Boost_Cout*POWER(V48_Nom,2))/(V12_Min*Calculations!$B$28*np)))*C210))</f>
        <v>0.0099981931989047-0.00737511493140895i</v>
      </c>
      <c r="E210" s="1">
        <f t="shared" si="65"/>
        <v>-38.11475956783174</v>
      </c>
      <c r="F210" s="1">
        <f t="shared" si="66"/>
        <v>-36.414146776576992</v>
      </c>
      <c r="G210" s="1" t="str">
        <f>IMDIV(IMSUM(COMPLEX(V48_Nom,0),IMPRODUCT(COMPLEX(np*(Calculations!$B$28*(V12_Min/V48_Nom)),0),D210)),IMSUM(IMPRODUCT(COMPLEX(((V12_Min/V48_Nom)^2),0),D210),COMPLEX(Rcs/np,(Lm*C210)/np)))</f>
        <v>0.000929303145872543-22.153860756182i</v>
      </c>
      <c r="H210" s="1">
        <f t="shared" si="50"/>
        <v>26.908988441846237</v>
      </c>
      <c r="I210" s="1">
        <f t="shared" si="51"/>
        <v>-89.997596574759527</v>
      </c>
      <c r="J210" s="82" t="str">
        <f>IMPRODUCT(COMPLEX(-1,0),IMDIV(IMSUM(IMSUB(IMPRODUCT(COMPLEX((1-(V12_Min/V48_Nom))*V48_Nom,0),D210),IMPRODUCT(COMPLEX(V48_Nom,0),D210)),IMPRODUCT(COMPLEX(0,Calculations!$B$28*Lm*C210),D210)),IMSUM(IMPRODUCT(COMPLEX(((V12_Min/V48_Nom)^2),0),D210),COMPLEX(Rcs/np,(Lm*C210)/np))))</f>
        <v>-0.149701214197911+0.0482035041090218i</v>
      </c>
      <c r="K210" s="81">
        <f t="shared" si="52"/>
        <v>-16.067050932488122</v>
      </c>
      <c r="L210" s="81">
        <f t="shared" si="53"/>
        <v>162.15154092818284</v>
      </c>
      <c r="M210" s="1">
        <f t="shared" si="67"/>
        <v>0.58181818181818179</v>
      </c>
      <c r="N210" s="81">
        <f t="shared" si="68"/>
        <v>0.02</v>
      </c>
      <c r="O210" s="81" t="str">
        <f t="shared" si="69"/>
        <v>1.36364568173906-0.638319286386966i</v>
      </c>
      <c r="P210" s="81">
        <f t="shared" si="54"/>
        <v>3.5544789109899182</v>
      </c>
      <c r="Q210" s="81">
        <f t="shared" si="55"/>
        <v>-25.08418171663293</v>
      </c>
      <c r="R210" s="81" t="str">
        <f t="shared" si="56"/>
        <v>-0.14272782312954+0.0522662690974418i</v>
      </c>
      <c r="S210" s="81">
        <f t="shared" si="57"/>
        <v>-16.363317275225761</v>
      </c>
      <c r="T210" s="81">
        <f t="shared" si="58"/>
        <v>159.88750292198145</v>
      </c>
      <c r="U210" s="81" t="str">
        <f>IMPRODUCT(COMPLEX(-1,0),IMDIV(COMPLEX(1,C210*Calculations!$B$248*Calculations!$B$250),IMPRODUCT(COMPLEX(0,C210*Calculations!$B$237),COMPLEX((Calculations!$B$250+Calculations!$B$252),C210*Calculations!$B$248*Calculations!$B$250*Calculations!$B$252))))</f>
        <v>-0.163911997070136+0.370195740701557i</v>
      </c>
      <c r="V210" s="81">
        <f t="shared" si="59"/>
        <v>-7.8538917314760415</v>
      </c>
      <c r="W210" s="81">
        <f t="shared" si="60"/>
        <v>113.88238104233879</v>
      </c>
      <c r="X210" s="81">
        <f>Calculations!$B$216/(Calculations!$B$216+Calculations!$B$218)</f>
        <v>0.6875</v>
      </c>
      <c r="Y210" s="81" t="str">
        <f t="shared" si="61"/>
        <v>0.00278166097302615-0.0422154567651628i</v>
      </c>
      <c r="Z210" s="81">
        <f t="shared" si="62"/>
        <v>-27.471754956655797</v>
      </c>
      <c r="AA210" s="81">
        <f t="shared" si="63"/>
        <v>-86.230116035679757</v>
      </c>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4"/>
      <c r="CD210" s="44"/>
      <c r="CE210" s="44"/>
      <c r="CF210" s="44"/>
      <c r="CG210" s="44"/>
      <c r="CH210" s="44"/>
      <c r="CI210" s="44"/>
      <c r="CJ210" s="44"/>
      <c r="CK210" s="44"/>
      <c r="CL210" s="44"/>
      <c r="CM210" s="44"/>
      <c r="CN210" s="44"/>
      <c r="CO210" s="44"/>
      <c r="CP210" s="44"/>
    </row>
    <row r="211" spans="1:94">
      <c r="B211" s="1">
        <v>46415.888336127755</v>
      </c>
      <c r="C211" s="1">
        <f t="shared" si="64"/>
        <v>291639.62761324627</v>
      </c>
      <c r="D211" s="80" t="str">
        <f>IMDIV(COMPLEX((POWER(V48_Nom,2)/(V12_Min*Calculations!$B$28*np)),((Zo_Boost_Cout*Zo_Boost_Resr*POWER(V48_Nom,2))/(V12_Min*Calculations!$B$28*np))*C211),COMPLEX(1,((Zo_Boost_Cout*Zo_Boost_Resr)+((Zo_Boost_Cout*POWER(V48_Nom,2))/(V12_Min*Calculations!$B$28*np)))*C211))</f>
        <v>0.00999732865846254-0.00571028384290583i</v>
      </c>
      <c r="E211" s="1">
        <f t="shared" si="65"/>
        <v>-38.77607418273297</v>
      </c>
      <c r="F211" s="1">
        <f t="shared" si="66"/>
        <v>-29.734185542445054</v>
      </c>
      <c r="G211" s="1" t="str">
        <f>IMDIV(IMSUM(COMPLEX(V48_Nom,0),IMPRODUCT(COMPLEX(np*(Calculations!$B$28*(V12_Min/V48_Nom)),0),D211)),IMSUM(IMPRODUCT(COMPLEX(((V12_Min/V48_Nom)^2),0),D211),COMPLEX(Rcs/np,(Lm*C211)/np)))</f>
        <v>0.000556753024974511-17.1522549523432i</v>
      </c>
      <c r="H211" s="1">
        <f t="shared" si="50"/>
        <v>24.686424473473075</v>
      </c>
      <c r="I211" s="1">
        <f t="shared" si="51"/>
        <v>-89.998140209631941</v>
      </c>
      <c r="J211" s="82" t="str">
        <f>IMPRODUCT(COMPLEX(-1,0),IMDIV(IMSUM(IMSUB(IMPRODUCT(COMPLEX((1-(V12_Min/V48_Nom))*V48_Nom,0),D211),IMPRODUCT(COMPLEX(V48_Nom,0),D211)),IMPRODUCT(COMPLEX(0,Calculations!$B$28*Lm*C211),D211)),IMSUM(IMPRODUCT(COMPLEX(((V12_Min/V48_Nom)^2),0),D211),COMPLEX(Rcs/np,(Lm*C211)/np))))</f>
        <v>-0.13778565206539+0.0373265389033963i</v>
      </c>
      <c r="K211" s="81">
        <f t="shared" si="52"/>
        <v>-16.908351084623551</v>
      </c>
      <c r="L211" s="81">
        <f t="shared" si="53"/>
        <v>164.84221613117126</v>
      </c>
      <c r="M211" s="1">
        <f t="shared" si="67"/>
        <v>0.58181818181818179</v>
      </c>
      <c r="N211" s="81">
        <f t="shared" si="68"/>
        <v>0.02</v>
      </c>
      <c r="O211" s="81" t="str">
        <f t="shared" si="69"/>
        <v>1.26095595236022-0.707628480669437i</v>
      </c>
      <c r="P211" s="81">
        <f t="shared" si="54"/>
        <v>3.2030168595135922</v>
      </c>
      <c r="Q211" s="81">
        <f t="shared" si="55"/>
        <v>-29.300449301611852</v>
      </c>
      <c r="R211" s="81" t="str">
        <f t="shared" si="56"/>
        <v>-0.118354089011491+0.0632591112407901i</v>
      </c>
      <c r="S211" s="81">
        <f t="shared" si="57"/>
        <v>-17.445006222525489</v>
      </c>
      <c r="T211" s="81">
        <f t="shared" si="58"/>
        <v>151.87592902722599</v>
      </c>
      <c r="U211" s="81" t="str">
        <f>IMPRODUCT(COMPLEX(-1,0),IMDIV(COMPLEX(1,C211*Calculations!$B$248*Calculations!$B$250),IMPRODUCT(COMPLEX(0,C211*Calculations!$B$237),COMPLEX((Calculations!$B$250+Calculations!$B$252),C211*Calculations!$B$248*Calculations!$B$250*Calculations!$B$252))))</f>
        <v>-0.105181578625693+0.306787265886306i</v>
      </c>
      <c r="V211" s="81">
        <f t="shared" si="59"/>
        <v>-9.7806026427078212</v>
      </c>
      <c r="W211" s="81">
        <f t="shared" si="60"/>
        <v>108.92420543116208</v>
      </c>
      <c r="X211" s="81">
        <f>Calculations!$B$216/(Calculations!$B$216+Calculations!$B$218)</f>
        <v>0.6875</v>
      </c>
      <c r="Y211" s="81" t="str">
        <f t="shared" si="61"/>
        <v>-0.00478391365438612-0.0295372141329818i</v>
      </c>
      <c r="Z211" s="81">
        <f t="shared" si="62"/>
        <v>-30.480154815187305</v>
      </c>
      <c r="AA211" s="81">
        <f t="shared" si="63"/>
        <v>-99.199865541611913</v>
      </c>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4"/>
      <c r="CD211" s="44"/>
      <c r="CE211" s="44"/>
      <c r="CF211" s="44"/>
      <c r="CG211" s="44"/>
      <c r="CH211" s="44"/>
      <c r="CI211" s="44"/>
      <c r="CJ211" s="44"/>
      <c r="CK211" s="44"/>
      <c r="CL211" s="44"/>
      <c r="CM211" s="44"/>
      <c r="CN211" s="44"/>
      <c r="CO211" s="44"/>
      <c r="CP211" s="44"/>
    </row>
    <row r="212" spans="1:94">
      <c r="B212" s="1">
        <v>59948.425031894149</v>
      </c>
      <c r="C212" s="1">
        <f t="shared" si="64"/>
        <v>376667.06334895425</v>
      </c>
      <c r="D212" s="80" t="str">
        <f>IMDIV(COMPLEX((POWER(V48_Nom,2)/(V12_Min*Calculations!$B$28*np)),((Zo_Boost_Cout*Zo_Boost_Resr*POWER(V48_Nom,2))/(V12_Min*Calculations!$B$28*np))*C212),COMPLEX(1,((Zo_Boost_Cout*Zo_Boost_Resr)+((Zo_Boost_Cout*POWER(V48_Nom,2))/(V12_Min*Calculations!$B$28*np)))*C212))</f>
        <v>0.00999681038005525-0.00442126548829921i</v>
      </c>
      <c r="E212" s="1">
        <f t="shared" si="65"/>
        <v>-39.226909509019237</v>
      </c>
      <c r="F212" s="1">
        <f t="shared" si="66"/>
        <v>-23.858254646907593</v>
      </c>
      <c r="G212" s="1" t="str">
        <f>IMDIV(IMSUM(COMPLEX(V48_Nom,0),IMPRODUCT(COMPLEX(np*(Calculations!$B$28*(V12_Min/V48_Nom)),0),D212)),IMSUM(IMPRODUCT(COMPLEX(((V12_Min/V48_Nom)^2),0),D212),COMPLEX(Rcs/np,(Lm*C212)/np)))</f>
        <v>0.000333639054427008-13.2800548619682i</v>
      </c>
      <c r="H212" s="1">
        <f t="shared" si="50"/>
        <v>22.463997386213748</v>
      </c>
      <c r="I212" s="1">
        <f t="shared" si="51"/>
        <v>-89.998560539855148</v>
      </c>
      <c r="J212" s="82" t="str">
        <f>IMPRODUCT(COMPLEX(-1,0),IMDIV(IMSUM(IMSUB(IMPRODUCT(COMPLEX((1-(V12_Min/V48_Nom))*V48_Nom,0),D212),IMPRODUCT(COMPLEX(V48_Nom,0),D212)),IMPRODUCT(COMPLEX(0,Calculations!$B$28*Lm*C212),D212)),IMSUM(IMPRODUCT(COMPLEX(((V12_Min/V48_Nom)^2),0),D212),COMPLEX(Rcs/np,(Lm*C212)/np))))</f>
        <v>-0.130642908520717+0.0289025866245799i</v>
      </c>
      <c r="K212" s="81">
        <f t="shared" si="52"/>
        <v>-17.470759092056902</v>
      </c>
      <c r="L212" s="81">
        <f t="shared" si="53"/>
        <v>167.52518786076641</v>
      </c>
      <c r="M212" s="1">
        <f t="shared" si="67"/>
        <v>0.58181818181818179</v>
      </c>
      <c r="N212" s="81">
        <f t="shared" si="68"/>
        <v>0.02</v>
      </c>
      <c r="O212" s="81" t="str">
        <f t="shared" si="69"/>
        <v>1.12023555793564-0.774311381324057i</v>
      </c>
      <c r="P212" s="81">
        <f t="shared" si="54"/>
        <v>2.6822351704062131</v>
      </c>
      <c r="Q212" s="81">
        <f t="shared" si="55"/>
        <v>-34.652386158801129</v>
      </c>
      <c r="R212" s="81" t="str">
        <f t="shared" si="56"/>
        <v>-0.0955900595961359+0.0694561306283968i</v>
      </c>
      <c r="S212" s="81">
        <f t="shared" si="57"/>
        <v>-18.550643864103513</v>
      </c>
      <c r="T212" s="81">
        <f t="shared" si="58"/>
        <v>143.99769053064409</v>
      </c>
      <c r="U212" s="81" t="str">
        <f>IMPRODUCT(COMPLEX(-1,0),IMDIV(COMPLEX(1,C212*Calculations!$B$248*Calculations!$B$250),IMPRODUCT(COMPLEX(0,C212*Calculations!$B$237),COMPLEX((Calculations!$B$250+Calculations!$B$252),C212*Calculations!$B$248*Calculations!$B$250*Calculations!$B$252))))</f>
        <v>-0.0658336139911253+0.247991035927001i</v>
      </c>
      <c r="V212" s="81">
        <f t="shared" si="59"/>
        <v>-11.815522726854578</v>
      </c>
      <c r="W212" s="81">
        <f t="shared" si="60"/>
        <v>104.86726391454415</v>
      </c>
      <c r="X212" s="81">
        <f>Calculations!$B$216/(Calculations!$B$216+Calculations!$B$218)</f>
        <v>0.6875</v>
      </c>
      <c r="Y212" s="81" t="str">
        <f t="shared" si="61"/>
        <v>-0.00751537785705891-0.0194411428727152i</v>
      </c>
      <c r="Z212" s="81">
        <f t="shared" si="62"/>
        <v>-33.620712540912052</v>
      </c>
      <c r="AA212" s="81">
        <f t="shared" si="63"/>
        <v>-111.13504555481174</v>
      </c>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4"/>
      <c r="CD212" s="44"/>
      <c r="CE212" s="44"/>
      <c r="CF212" s="44"/>
      <c r="CG212" s="44"/>
      <c r="CH212" s="44"/>
      <c r="CI212" s="44"/>
      <c r="CJ212" s="44"/>
      <c r="CK212" s="44"/>
      <c r="CL212" s="44"/>
      <c r="CM212" s="44"/>
      <c r="CN212" s="44"/>
      <c r="CO212" s="44"/>
      <c r="CP212" s="44"/>
    </row>
    <row r="213" spans="1:94">
      <c r="B213" s="1">
        <v>77426.368268112885</v>
      </c>
      <c r="C213" s="1">
        <f t="shared" si="64"/>
        <v>486484.21949048265</v>
      </c>
      <c r="D213" s="80" t="str">
        <f>IMDIV(COMPLEX((POWER(V48_Nom,2)/(V12_Min*Calculations!$B$28*np)),((Zo_Boost_Cout*Zo_Boost_Resr*POWER(V48_Nom,2))/(V12_Min*Calculations!$B$28*np))*C213),COMPLEX(1,((Zo_Boost_Cout*Zo_Boost_Resr)+((Zo_Boost_Cout*POWER(V48_Nom,2))/(V12_Min*Calculations!$B$28*np)))*C213))</f>
        <v>0.0099964996803026-0.00342322534129047i</v>
      </c>
      <c r="E213" s="1">
        <f t="shared" si="65"/>
        <v>-39.521471944587546</v>
      </c>
      <c r="F213" s="1">
        <f t="shared" si="66"/>
        <v>-18.903378234429006</v>
      </c>
      <c r="G213" s="1" t="str">
        <f>IMDIV(IMSUM(COMPLEX(V48_Nom,0),IMPRODUCT(COMPLEX(np*(Calculations!$B$28*(V12_Min/V48_Nom)),0),D213)),IMSUM(IMPRODUCT(COMPLEX(((V12_Min/V48_Nom)^2),0),D213),COMPLEX(Rcs/np,(Lm*C213)/np)))</f>
        <v>0.000199966217892938-10.282118803526i</v>
      </c>
      <c r="H213" s="1">
        <f t="shared" si="50"/>
        <v>20.241652352927545</v>
      </c>
      <c r="I213" s="1">
        <f t="shared" si="51"/>
        <v>-89.998885714068479</v>
      </c>
      <c r="J213" s="82" t="str">
        <f>IMPRODUCT(COMPLEX(-1,0),IMDIV(IMSUM(IMSUB(IMPRODUCT(COMPLEX((1-(V12_Min/V48_Nom))*V48_Nom,0),D213),IMPRODUCT(COMPLEX(V48_Nom,0),D213)),IMPRODUCT(COMPLEX(0,Calculations!$B$28*Lm*C213),D213)),IMSUM(IMPRODUCT(COMPLEX(((V12_Min/V48_Nom)^2),0),D213),COMPLEX(Rcs/np,(Lm*C213)/np))))</f>
        <v>-0.126361107355451+0.0223791528575496i</v>
      </c>
      <c r="K213" s="81">
        <f t="shared" si="52"/>
        <v>-17.833603037667721</v>
      </c>
      <c r="L213" s="81">
        <f t="shared" si="53"/>
        <v>169.95678636095323</v>
      </c>
      <c r="M213" s="1">
        <f t="shared" si="67"/>
        <v>0.58181818181818179</v>
      </c>
      <c r="N213" s="81">
        <f t="shared" si="68"/>
        <v>0.02</v>
      </c>
      <c r="O213" s="81" t="str">
        <f t="shared" si="69"/>
        <v>0.944424360932254-0.818546252427631i</v>
      </c>
      <c r="P213" s="81">
        <f t="shared" si="54"/>
        <v>1.9366861245791838</v>
      </c>
      <c r="Q213" s="81">
        <f t="shared" si="55"/>
        <v>-40.915947049412125</v>
      </c>
      <c r="R213" s="81" t="str">
        <f t="shared" si="56"/>
        <v>-0.074058732168868+0.0710671575412233i</v>
      </c>
      <c r="S213" s="81">
        <f t="shared" si="57"/>
        <v>-19.773557028052341</v>
      </c>
      <c r="T213" s="81">
        <f t="shared" si="58"/>
        <v>136.18090803021497</v>
      </c>
      <c r="U213" s="81" t="str">
        <f>IMPRODUCT(COMPLEX(-1,0),IMDIV(COMPLEX(1,C213*Calculations!$B$248*Calculations!$B$250),IMPRODUCT(COMPLEX(0,C213*Calculations!$B$237),COMPLEX((Calculations!$B$250+Calculations!$B$252),C213*Calculations!$B$248*Calculations!$B$250*Calculations!$B$252))))</f>
        <v>-0.0405372144380042+0.19721549228306i</v>
      </c>
      <c r="V213" s="81">
        <f t="shared" si="59"/>
        <v>-13.92146079319388</v>
      </c>
      <c r="W213" s="81">
        <f t="shared" si="60"/>
        <v>101.61524485732487</v>
      </c>
      <c r="X213" s="81">
        <f>Calculations!$B$216/(Calculations!$B$216+Calculations!$B$218)</f>
        <v>0.6875</v>
      </c>
      <c r="Y213" s="81" t="str">
        <f t="shared" si="61"/>
        <v>-0.00757171920499088-0.0120218958250123i</v>
      </c>
      <c r="Z213" s="81">
        <f t="shared" si="62"/>
        <v>-36.949563771200211</v>
      </c>
      <c r="AA213" s="81">
        <f t="shared" si="63"/>
        <v>-122.20384711246011</v>
      </c>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4"/>
      <c r="CD213" s="44"/>
      <c r="CE213" s="44"/>
      <c r="CF213" s="44"/>
      <c r="CG213" s="44"/>
      <c r="CH213" s="44"/>
      <c r="CI213" s="44"/>
      <c r="CJ213" s="44"/>
      <c r="CK213" s="44"/>
      <c r="CL213" s="44"/>
      <c r="CM213" s="44"/>
      <c r="CN213" s="44"/>
      <c r="CO213" s="44"/>
      <c r="CP213" s="44"/>
    </row>
    <row r="214" spans="1:94">
      <c r="B214" s="1">
        <v>100000</v>
      </c>
      <c r="C214" s="1">
        <f t="shared" si="64"/>
        <v>628318.53071795858</v>
      </c>
      <c r="D214" s="80" t="str">
        <f>IMDIV(COMPLEX((POWER(V48_Nom,2)/(V12_Min*Calculations!$B$28*np)),((Zo_Boost_Cout*Zo_Boost_Resr*POWER(V48_Nom,2))/(V12_Min*Calculations!$B$28*np))*C214),COMPLEX(1,((Zo_Boost_Cout*Zo_Boost_Resr)+((Zo_Boost_Cout*POWER(V48_Nom,2))/(V12_Min*Calculations!$B$28*np)))*C214))</f>
        <v>0.00999631342069062-0.00265047907898658i</v>
      </c>
      <c r="E214" s="1">
        <f t="shared" si="65"/>
        <v>-39.708138454758512</v>
      </c>
      <c r="F214" s="1">
        <f t="shared" si="66"/>
        <v>-14.850024642557317</v>
      </c>
      <c r="G214" s="1" t="str">
        <f>IMDIV(IMSUM(COMPLEX(V48_Nom,0),IMPRODUCT(COMPLEX(np*(Calculations!$B$28*(V12_Min/V48_Nom)),0),D214)),IMSUM(IMPRODUCT(COMPLEX(((V12_Min/V48_Nom)^2),0),D214),COMPLEX(Rcs/np,(Lm*C214)/np)))</f>
        <v>0.000119860376267739-7.96100369263386i</v>
      </c>
      <c r="H214" s="1">
        <f t="shared" si="50"/>
        <v>18.019356508233017</v>
      </c>
      <c r="I214" s="1">
        <f t="shared" si="51"/>
        <v>-89.99913735830863</v>
      </c>
      <c r="J214" s="82" t="str">
        <f>IMPRODUCT(COMPLEX(-1,0),IMDIV(IMSUM(IMSUB(IMPRODUCT(COMPLEX((1-(V12_Min/V48_Nom))*V48_Nom,0),D214),IMPRODUCT(COMPLEX(V48_Nom,0),D214)),IMPRODUCT(COMPLEX(0,Calculations!$B$28*Lm*C214),D214)),IMSUM(IMPRODUCT(COMPLEX(((V12_Min/V48_Nom)^2),0),D214),COMPLEX(Rcs/np,(Lm*C214)/np))))</f>
        <v>-0.123794292885341+0.0173277968118237i</v>
      </c>
      <c r="K214" s="81">
        <f t="shared" si="52"/>
        <v>-18.061722055789698</v>
      </c>
      <c r="L214" s="81">
        <f t="shared" si="53"/>
        <v>172.03193488817192</v>
      </c>
      <c r="M214" s="1">
        <f t="shared" si="67"/>
        <v>0.58181818181818179</v>
      </c>
      <c r="N214" s="81">
        <f t="shared" si="68"/>
        <v>0.02</v>
      </c>
      <c r="O214" s="81" t="str">
        <f t="shared" si="69"/>
        <v>0.748477557783269-0.822776104359854i</v>
      </c>
      <c r="P214" s="81">
        <f t="shared" si="54"/>
        <v>0.92432600158166167</v>
      </c>
      <c r="Q214" s="81">
        <f t="shared" si="55"/>
        <v>-47.707280589888974</v>
      </c>
      <c r="R214" s="81" t="str">
        <f t="shared" si="56"/>
        <v>-0.0544994342933878+0.0682283418159953i</v>
      </c>
      <c r="S214" s="81">
        <f t="shared" si="57"/>
        <v>-21.177433520720733</v>
      </c>
      <c r="T214" s="81">
        <f t="shared" si="58"/>
        <v>128.61716011259816</v>
      </c>
      <c r="U214" s="81" t="str">
        <f>IMPRODUCT(COMPLEX(-1,0),IMDIV(COMPLEX(1,C214*Calculations!$B$248*Calculations!$B$250),IMPRODUCT(COMPLEX(0,C214*Calculations!$B$237),COMPLEX((Calculations!$B$250+Calculations!$B$252),C214*Calculations!$B$248*Calculations!$B$250*Calculations!$B$252))))</f>
        <v>-0.024703301854995+0.155219358838381i</v>
      </c>
      <c r="V214" s="81">
        <f t="shared" si="59"/>
        <v>-16.072449838542184</v>
      </c>
      <c r="W214" s="81">
        <f t="shared" si="60"/>
        <v>99.042835581099467</v>
      </c>
      <c r="X214" s="81">
        <f>Calculations!$B$216/(Calculations!$B$216+Calculations!$B$218)</f>
        <v>0.6875</v>
      </c>
      <c r="Y214" s="81" t="str">
        <f t="shared" si="61"/>
        <v>-0.00635527990281846-0.00697457239257653i</v>
      </c>
      <c r="Z214" s="81">
        <f t="shared" si="62"/>
        <v>-40.504429309216917</v>
      </c>
      <c r="AA214" s="81">
        <f t="shared" si="63"/>
        <v>-132.34000430630246</v>
      </c>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4"/>
      <c r="CD214" s="44"/>
      <c r="CE214" s="44"/>
      <c r="CF214" s="44"/>
      <c r="CG214" s="44"/>
      <c r="CH214" s="44"/>
      <c r="CI214" s="44"/>
      <c r="CJ214" s="44"/>
      <c r="CK214" s="44"/>
      <c r="CL214" s="44"/>
      <c r="CM214" s="44"/>
      <c r="CN214" s="44"/>
      <c r="CO214" s="44"/>
      <c r="CP214" s="44"/>
    </row>
    <row r="215" spans="1:94">
      <c r="B215" s="1">
        <v>129154.96650148838</v>
      </c>
      <c r="C215" s="1">
        <f t="shared" si="64"/>
        <v>811504.58787142346</v>
      </c>
      <c r="D215" s="80" t="str">
        <f>IMDIV(COMPLEX((POWER(V48_Nom,2)/(V12_Min*Calculations!$B$28*np)),((Zo_Boost_Cout*Zo_Boost_Resr*POWER(V48_Nom,2))/(V12_Min*Calculations!$B$28*np))*C215),COMPLEX(1,((Zo_Boost_Cout*Zo_Boost_Resr)+((Zo_Boost_Cout*POWER(V48_Nom,2))/(V12_Min*Calculations!$B$28*np)))*C215))</f>
        <v>0.00999620176098548-0.00205216970165907i</v>
      </c>
      <c r="E215" s="1">
        <f t="shared" si="65"/>
        <v>-39.8240140137015</v>
      </c>
      <c r="F215" s="1">
        <f t="shared" si="66"/>
        <v>-11.601342904256322</v>
      </c>
      <c r="G215" s="1" t="str">
        <f>IMDIV(IMSUM(COMPLEX(V48_Nom,0),IMPRODUCT(COMPLEX(np*(Calculations!$B$28*(V12_Min/V48_Nom)),0),D215)),IMSUM(IMPRODUCT(COMPLEX(((V12_Min/V48_Nom)^2),0),D215),COMPLEX(Rcs/np,(Lm*C215)/np)))</f>
        <v>0.0000718485780943297-6.16388471683015i</v>
      </c>
      <c r="H215" s="1">
        <f t="shared" si="50"/>
        <v>15.797090150795068</v>
      </c>
      <c r="I215" s="1">
        <f t="shared" si="51"/>
        <v>-89.999332138662908</v>
      </c>
      <c r="J215" s="82" t="str">
        <f>IMPRODUCT(COMPLEX(-1,0),IMDIV(IMSUM(IMSUB(IMPRODUCT(COMPLEX((1-(V12_Min/V48_Nom))*V48_Nom,0),D215),IMPRODUCT(COMPLEX(V48_Nom,0),D215)),IMPRODUCT(COMPLEX(0,Calculations!$B$28*Lm*C215),D215)),IMSUM(IMPRODUCT(COMPLEX(((V12_Min/V48_Nom)^2),0),D215),COMPLEX(Rcs/np,(Lm*C215)/np))))</f>
        <v>-0.12225554884156+0.0134164840528308i</v>
      </c>
      <c r="K215" s="81">
        <f t="shared" si="52"/>
        <v>-18.202638087833257</v>
      </c>
      <c r="L215" s="81">
        <f t="shared" si="53"/>
        <v>173.73734658156829</v>
      </c>
      <c r="M215" s="1">
        <f t="shared" si="67"/>
        <v>0.58181818181818179</v>
      </c>
      <c r="N215" s="81">
        <f t="shared" si="68"/>
        <v>0.02</v>
      </c>
      <c r="O215" s="81" t="str">
        <f t="shared" si="69"/>
        <v>0.556036898556863-0.780767213189281i</v>
      </c>
      <c r="P215" s="81">
        <f t="shared" si="54"/>
        <v>-0.36791079284962941</v>
      </c>
      <c r="Q215" s="81">
        <f t="shared" si="55"/>
        <v>-54.542772495358257</v>
      </c>
      <c r="R215" s="81" t="str">
        <f t="shared" si="56"/>
        <v>-0.0380531138193136+0.0618211035769335i</v>
      </c>
      <c r="S215" s="81">
        <f t="shared" si="57"/>
        <v>-22.781985883996096</v>
      </c>
      <c r="T215" s="81">
        <f t="shared" si="58"/>
        <v>121.61379237851044</v>
      </c>
      <c r="U215" s="81" t="str">
        <f>IMPRODUCT(COMPLEX(-1,0),IMDIV(COMPLEX(1,C215*Calculations!$B$248*Calculations!$B$250),IMPRODUCT(COMPLEX(0,C215*Calculations!$B$237),COMPLEX((Calculations!$B$250+Calculations!$B$252),C215*Calculations!$B$248*Calculations!$B$250*Calculations!$B$252))))</f>
        <v>-0.0149575272159167+0.121382864617019i</v>
      </c>
      <c r="V215" s="81">
        <f t="shared" si="59"/>
        <v>-18.251401916713696</v>
      </c>
      <c r="W215" s="81">
        <f t="shared" si="60"/>
        <v>97.024916704379905</v>
      </c>
      <c r="X215" s="81">
        <f>Calculations!$B$216/(Calculations!$B$216+Calculations!$B$218)</f>
        <v>0.6875</v>
      </c>
      <c r="Y215" s="81" t="str">
        <f t="shared" si="61"/>
        <v>-0.00476770398524122-0.00381128467655083i</v>
      </c>
      <c r="Z215" s="81">
        <f t="shared" si="62"/>
        <v>-44.287933750663797</v>
      </c>
      <c r="AA215" s="81">
        <f t="shared" si="63"/>
        <v>-141.36129091710961</v>
      </c>
      <c r="AB215" s="44"/>
      <c r="AC215" s="44"/>
      <c r="AD215" s="44"/>
      <c r="AE215" s="44"/>
      <c r="AF215" s="44"/>
      <c r="AJ215" t="s">
        <v>573</v>
      </c>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row>
    <row r="216" spans="1:94">
      <c r="B216" s="1">
        <v>166810.05372000611</v>
      </c>
      <c r="C216" s="1">
        <f t="shared" si="64"/>
        <v>1048098.4786233798</v>
      </c>
      <c r="D216" s="80" t="str">
        <f>IMDIV(COMPLEX((POWER(V48_Nom,2)/(V12_Min*Calculations!$B$28*np)),((Zo_Boost_Cout*Zo_Boost_Resr*POWER(V48_Nom,2))/(V12_Min*Calculations!$B$28*np))*C216),COMPLEX(1,((Zo_Boost_Cout*Zo_Boost_Resr)+((Zo_Boost_Cout*POWER(V48_Nom,2))/(V12_Min*Calculations!$B$28*np)))*C216))</f>
        <v>0.0099961348227503-0.00158892047491407i</v>
      </c>
      <c r="E216" s="1">
        <f t="shared" si="65"/>
        <v>-39.894991452112997</v>
      </c>
      <c r="F216" s="1">
        <f t="shared" si="66"/>
        <v>-9.0318032320285333</v>
      </c>
      <c r="G216" s="1" t="str">
        <f>IMDIV(IMSUM(COMPLEX(V48_Nom,0),IMPRODUCT(COMPLEX(np*(Calculations!$B$28*(V12_Min/V48_Nom)),0),D216)),IMSUM(IMPRODUCT(COMPLEX(((V12_Min/V48_Nom)^2),0),D216),COMPLEX(Rcs/np,(Lm*C216)/np)))</f>
        <v>0.0000430699959171736-4.77245754310537i</v>
      </c>
      <c r="H216" s="1">
        <f t="shared" si="50"/>
        <v>13.574841470312853</v>
      </c>
      <c r="I216" s="1">
        <f t="shared" si="51"/>
        <v>-89.99948292279872</v>
      </c>
      <c r="J216" s="82" t="str">
        <f>IMPRODUCT(COMPLEX(-1,0),IMDIV(IMSUM(IMSUB(IMPRODUCT(COMPLEX((1-(V12_Min/V48_Nom))*V48_Nom,0),D216),IMPRODUCT(COMPLEX(V48_Nom,0),D216)),IMPRODUCT(COMPLEX(0,Calculations!$B$28*Lm*C216),D216)),IMSUM(IMPRODUCT(COMPLEX(((V12_Min/V48_Nom)^2),0),D216),COMPLEX(Rcs/np,(Lm*C216)/np))))</f>
        <v>-0.121333103498682+0.0103879893116116i</v>
      </c>
      <c r="K216" s="81">
        <f t="shared" si="52"/>
        <v>-18.288696163705101</v>
      </c>
      <c r="L216" s="81">
        <f t="shared" si="53"/>
        <v>175.10652866656676</v>
      </c>
      <c r="M216" s="1">
        <f t="shared" si="67"/>
        <v>0.58181818181818179</v>
      </c>
      <c r="N216" s="81">
        <f t="shared" si="68"/>
        <v>0.02</v>
      </c>
      <c r="O216" s="81" t="str">
        <f t="shared" si="69"/>
        <v>0.389140569249583-0.70102712773421i</v>
      </c>
      <c r="P216" s="81">
        <f t="shared" si="54"/>
        <v>-1.9187723465334061</v>
      </c>
      <c r="Q216" s="81">
        <f t="shared" si="55"/>
        <v>-60.965319519126815</v>
      </c>
      <c r="R216" s="81" t="str">
        <f t="shared" si="56"/>
        <v>-0.0253751965295815+0.0533694352637998i</v>
      </c>
      <c r="S216" s="81">
        <f t="shared" si="57"/>
        <v>-24.56901237809663</v>
      </c>
      <c r="T216" s="81">
        <f t="shared" si="58"/>
        <v>115.42936279008767</v>
      </c>
      <c r="U216" s="81" t="str">
        <f>IMPRODUCT(COMPLEX(-1,0),IMDIV(COMPLEX(1,C216*Calculations!$B$248*Calculations!$B$250),IMPRODUCT(COMPLEX(0,C216*Calculations!$B$237),COMPLEX((Calculations!$B$250+Calculations!$B$252),C216*Calculations!$B$248*Calculations!$B$250*Calculations!$B$252))))</f>
        <v>-0.00902095217354344+0.0945493240459495i</v>
      </c>
      <c r="V216" s="81">
        <f t="shared" si="59"/>
        <v>-20.447476157228675</v>
      </c>
      <c r="W216" s="81">
        <f t="shared" si="60"/>
        <v>95.450093456193059</v>
      </c>
      <c r="X216" s="81">
        <f>Calculations!$B$216/(Calculations!$B$216+Calculations!$B$218)</f>
        <v>0.6875</v>
      </c>
      <c r="Y216" s="81" t="str">
        <f t="shared" si="61"/>
        <v>-0.00331178072130036-0.00198044742668356i</v>
      </c>
      <c r="Z216" s="81">
        <f t="shared" si="62"/>
        <v>-48.271034485279301</v>
      </c>
      <c r="AA216" s="81">
        <f t="shared" si="63"/>
        <v>-149.12054375371923</v>
      </c>
      <c r="AB216" s="44"/>
      <c r="AC216" s="44"/>
      <c r="AD216" s="44"/>
      <c r="AE216" s="44"/>
      <c r="AF216" t="s">
        <v>574</v>
      </c>
      <c r="AG216">
        <f t="array" ref="AG216">INDEX($Z$169:$Z$223,(MATCH(TRUE,$Z$169:$Z$223&lt;0,)-1))</f>
        <v>0.39428134704553808</v>
      </c>
      <c r="AH216">
        <f t="array" ref="AH216">INDEX($Z$169:$Z$223,(MATCH(TRUE,$Z$169:$Z$223&lt;0,)-0))</f>
        <v>-1.6001601278316493</v>
      </c>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row>
    <row r="217" spans="1:94">
      <c r="B217" s="1">
        <v>215443.46900318863</v>
      </c>
      <c r="C217" s="1">
        <f t="shared" si="64"/>
        <v>1353671.2389686354</v>
      </c>
      <c r="D217" s="80" t="str">
        <f>IMDIV(COMPLEX((POWER(V48_Nom,2)/(V12_Min*Calculations!$B$28*np)),((Zo_Boost_Cout*Zo_Boost_Resr*POWER(V48_Nom,2))/(V12_Min*Calculations!$B$28*np))*C217),COMPLEX(1,((Zo_Boost_Cout*Zo_Boost_Resr)+((Zo_Boost_Cout*POWER(V48_Nom,2))/(V12_Min*Calculations!$B$28*np)))*C217))</f>
        <v>0.00999609469433247-0.00123024342035358i</v>
      </c>
      <c r="E217" s="1">
        <f t="shared" si="65"/>
        <v>-39.938104195614777</v>
      </c>
      <c r="F217" s="1">
        <f t="shared" si="66"/>
        <v>-7.016246772890713</v>
      </c>
      <c r="G217" s="1" t="str">
        <f>IMDIV(IMSUM(COMPLEX(V48_Nom,0),IMPRODUCT(COMPLEX(np*(Calculations!$B$28*(V12_Min/V48_Nom)),0),D217)),IMSUM(IMPRODUCT(COMPLEX(((V12_Min/V48_Nom)^2),0),D217),COMPLEX(Rcs/np,(Lm*C217)/np)))</f>
        <v>0.0000258190312958678-3.69513380514766i</v>
      </c>
      <c r="H217" s="1">
        <f t="shared" si="50"/>
        <v>11.352603386818831</v>
      </c>
      <c r="I217" s="1">
        <f t="shared" si="51"/>
        <v>-89.999599656845376</v>
      </c>
      <c r="J217" s="82" t="str">
        <f>IMPRODUCT(COMPLEX(-1,0),IMDIV(IMSUM(IMSUB(IMPRODUCT(COMPLEX((1-(V12_Min/V48_Nom))*V48_Nom,0),D217),IMPRODUCT(COMPLEX(V48_Nom,0),D217)),IMPRODUCT(COMPLEX(0,Calculations!$B$28*Lm*C217),D217)),IMSUM(IMPRODUCT(COMPLEX(((V12_Min/V48_Nom)^2),0),D217),COMPLEX(Rcs/np,(Lm*C217)/np))))</f>
        <v>-0.120780114730787+0.00804308600788787i</v>
      </c>
      <c r="K217" s="81">
        <f t="shared" si="52"/>
        <v>-18.340874593951032</v>
      </c>
      <c r="L217" s="81">
        <f t="shared" si="53"/>
        <v>176.19013871556908</v>
      </c>
      <c r="M217" s="1">
        <f t="shared" si="67"/>
        <v>0.58181818181818179</v>
      </c>
      <c r="N217" s="81">
        <f t="shared" si="68"/>
        <v>0.02</v>
      </c>
      <c r="O217" s="81" t="str">
        <f t="shared" si="69"/>
        <v>0.259308466336923-0.600907787365763i</v>
      </c>
      <c r="P217" s="81">
        <f t="shared" si="54"/>
        <v>-3.6822044254349757</v>
      </c>
      <c r="Q217" s="81">
        <f t="shared" si="55"/>
        <v>-66.658455389016197</v>
      </c>
      <c r="R217" s="81" t="str">
        <f t="shared" si="56"/>
        <v>-0.0163271008101666+0.0444057938732398i</v>
      </c>
      <c r="S217" s="81">
        <f t="shared" si="57"/>
        <v>-26.500528444044242</v>
      </c>
      <c r="T217" s="81">
        <f t="shared" si="58"/>
        <v>110.18744123408602</v>
      </c>
      <c r="U217" s="81" t="str">
        <f>IMPRODUCT(COMPLEX(-1,0),IMDIV(COMPLEX(1,C217*Calculations!$B$248*Calculations!$B$250),IMPRODUCT(COMPLEX(0,C217*Calculations!$B$237),COMPLEX((Calculations!$B$250+Calculations!$B$252),C217*Calculations!$B$248*Calculations!$B$250*Calculations!$B$252))))</f>
        <v>-0.00542756797499588+0.073471828005653i</v>
      </c>
      <c r="V217" s="81">
        <f t="shared" si="59"/>
        <v>-22.653947263545717</v>
      </c>
      <c r="W217" s="81">
        <f t="shared" si="60"/>
        <v>94.224924101737201</v>
      </c>
      <c r="X217" s="81">
        <f>Calculations!$B$216/(Calculations!$B$216+Calculations!$B$218)</f>
        <v>0.6875</v>
      </c>
      <c r="Y217" s="81" t="str">
        <f t="shared" si="61"/>
        <v>-0.00218209640029381-0.000990410717509249i</v>
      </c>
      <c r="Z217" s="81">
        <f t="shared" si="62"/>
        <v>-52.409021657543974</v>
      </c>
      <c r="AA217" s="81">
        <f t="shared" si="63"/>
        <v>-155.58763466417676</v>
      </c>
      <c r="AB217" s="44"/>
      <c r="AC217" s="44"/>
      <c r="AD217" s="44"/>
      <c r="AE217" s="44"/>
      <c r="AF217" t="s">
        <v>575</v>
      </c>
      <c r="AG217">
        <f t="array" ref="AG217">INDEX($B$169:$B$223,(MATCH(TRUE,$Z$169:$Z$223&lt;0,)-1))</f>
        <v>1668.1005372000604</v>
      </c>
      <c r="AH217">
        <f t="array" ref="AH217">INDEX($B$169:$B$223,(MATCH(TRUE,$Z$169:$Z$223&lt;0,)-0))</f>
        <v>2154.4346900318833</v>
      </c>
      <c r="AJ217">
        <f>(AG216*AH217-AG217*AH216)/(AG216-AH216)/1000</f>
        <v>1.7642439875385014</v>
      </c>
      <c r="AK217" s="236" t="str">
        <f>"Crossover Frequency = "&amp;ROUND(AJ217,1)&amp;" kHz"</f>
        <v>Crossover Frequency = 1.8 kHz</v>
      </c>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row>
    <row r="218" spans="1:94">
      <c r="B218" s="1">
        <v>278255.94022071268</v>
      </c>
      <c r="C218" s="1">
        <f t="shared" si="64"/>
        <v>1748333.6352302232</v>
      </c>
      <c r="D218" s="80" t="str">
        <f>IMDIV(COMPLEX((POWER(V48_Nom,2)/(V12_Min*Calculations!$B$28*np)),((Zo_Boost_Cout*Zo_Boost_Resr*POWER(V48_Nom,2))/(V12_Min*Calculations!$B$28*np))*C218),COMPLEX(1,((Zo_Boost_Cout*Zo_Boost_Resr)+((Zo_Boost_Cout*POWER(V48_Nom,2))/(V12_Min*Calculations!$B$28*np)))*C218))</f>
        <v>0.0099960706379779-0.000952532802146556i</v>
      </c>
      <c r="E218" s="1">
        <f t="shared" si="65"/>
        <v>-39.964156300242799</v>
      </c>
      <c r="F218" s="1">
        <f t="shared" si="66"/>
        <v>-5.4433202826669618</v>
      </c>
      <c r="G218" s="1" t="str">
        <f>IMDIV(IMSUM(COMPLEX(V48_Nom,0),IMPRODUCT(COMPLEX(np*(Calculations!$B$28*(V12_Min/V48_Nom)),0),D218)),IMSUM(IMPRODUCT(COMPLEX(((V12_Min/V48_Nom)^2),0),D218),COMPLEX(Rcs/np,(Lm*C218)/np)))</f>
        <v>0.0000154778320372724-2.86100477601616i</v>
      </c>
      <c r="H218" s="1">
        <f t="shared" si="50"/>
        <v>9.1303716560277621</v>
      </c>
      <c r="I218" s="1">
        <f t="shared" si="51"/>
        <v>-89.999690033914248</v>
      </c>
      <c r="J218" s="82" t="str">
        <f>IMPRODUCT(COMPLEX(-1,0),IMDIV(IMSUM(IMSUB(IMPRODUCT(COMPLEX((1-(V12_Min/V48_Nom))*V48_Nom,0),D218),IMPRODUCT(COMPLEX(V48_Nom,0),D218)),IMPRODUCT(COMPLEX(0,Calculations!$B$28*Lm*C218),D218)),IMSUM(IMPRODUCT(COMPLEX(((V12_Min/V48_Nom)^2),0),D218),COMPLEX(Rcs/np,(Lm*C218)/np))))</f>
        <v>-0.120448607639459+0.00622748941989893i</v>
      </c>
      <c r="K218" s="81">
        <f t="shared" si="52"/>
        <v>-18.37237049001352</v>
      </c>
      <c r="L218" s="81">
        <f t="shared" si="53"/>
        <v>177.04030255898138</v>
      </c>
      <c r="M218" s="1">
        <f t="shared" si="67"/>
        <v>0.58181818181818179</v>
      </c>
      <c r="N218" s="81">
        <f t="shared" si="68"/>
        <v>0.02</v>
      </c>
      <c r="O218" s="81" t="str">
        <f t="shared" si="69"/>
        <v>0.166592675518634-0.497401045132627i</v>
      </c>
      <c r="P218" s="81">
        <f t="shared" si="54"/>
        <v>-5.6041324836390851</v>
      </c>
      <c r="Q218" s="81">
        <f t="shared" si="55"/>
        <v>-71.482948901787708</v>
      </c>
      <c r="R218" s="81" t="str">
        <f t="shared" si="56"/>
        <v>-0.0102417258702759+0.0360004102016154i</v>
      </c>
      <c r="S218" s="81">
        <f t="shared" si="57"/>
        <v>-28.535858946396047</v>
      </c>
      <c r="T218" s="81">
        <f t="shared" si="58"/>
        <v>105.88047722268325</v>
      </c>
      <c r="U218" s="81" t="str">
        <f>IMPRODUCT(COMPLEX(-1,0),IMDIV(COMPLEX(1,C218*Calculations!$B$248*Calculations!$B$250),IMPRODUCT(COMPLEX(0,C218*Calculations!$B$237),COMPLEX((Calculations!$B$250+Calculations!$B$252),C218*Calculations!$B$248*Calculations!$B$250*Calculations!$B$252))))</f>
        <v>-0.00326084421207142+0.057010622850167i</v>
      </c>
      <c r="V218" s="81">
        <f t="shared" si="59"/>
        <v>-24.866699478425044</v>
      </c>
      <c r="W218" s="81">
        <f t="shared" si="60"/>
        <v>93.273587604372736</v>
      </c>
      <c r="X218" s="81">
        <f>Calculations!$B$216/(Calculations!$B$216+Calculations!$B$218)</f>
        <v>0.6875</v>
      </c>
      <c r="Y218" s="81" t="str">
        <f t="shared" si="61"/>
        <v>-0.0013880687809518-0.000482129243862222i</v>
      </c>
      <c r="Z218" s="81">
        <f t="shared" si="62"/>
        <v>-56.657104374775081</v>
      </c>
      <c r="AA218" s="81">
        <f t="shared" si="63"/>
        <v>-160.84593517294402</v>
      </c>
      <c r="AB218" s="44"/>
      <c r="AC218" s="44"/>
      <c r="AD218" s="44"/>
      <c r="AE218" s="44"/>
      <c r="AF218" t="s">
        <v>576</v>
      </c>
      <c r="AG218">
        <f t="array" ref="AG218">INDEX($AA$169:$AA$223,(MATCH(TRUE,$Z$169:$Z$223&lt;0,)-1))</f>
        <v>78.379381448178236</v>
      </c>
      <c r="AH218">
        <f t="array" ref="AH218">INDEX($AA$169:$AA$223,(MATCH(TRUE,$Z$169:$Z$223&lt;0,)-0))</f>
        <v>73.979408213873313</v>
      </c>
      <c r="AJ218">
        <f>(AG216*AH218-AG218*AH216)/(AG216-AH216)</f>
        <v>77.509550272062683</v>
      </c>
      <c r="AK218" t="str">
        <f>"Phase Margin = "&amp;ROUND(AJ218,0)&amp;"°"</f>
        <v>Phase Margin = 78°</v>
      </c>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row>
    <row r="219" spans="1:94">
      <c r="B219" s="1">
        <v>359381.36638046295</v>
      </c>
      <c r="C219" s="1">
        <f t="shared" si="64"/>
        <v>2258059.7209158484</v>
      </c>
      <c r="D219" s="80" t="str">
        <f>IMDIV(COMPLEX((POWER(V48_Nom,2)/(V12_Min*Calculations!$B$28*np)),((Zo_Boost_Cout*Zo_Boost_Resr*POWER(V48_Nom,2))/(V12_Min*Calculations!$B$28*np))*C219),COMPLEX(1,((Zo_Boost_Cout*Zo_Boost_Resr)+((Zo_Boost_Cout*POWER(V48_Nom,2))/(V12_Min*Calculations!$B$28*np)))*C219))</f>
        <v>0.0099960562165722-0.000737511555686656i</v>
      </c>
      <c r="E219" s="1">
        <f t="shared" si="65"/>
        <v>-39.97984938304986</v>
      </c>
      <c r="F219" s="1">
        <f t="shared" si="66"/>
        <v>-4.219651591520722</v>
      </c>
      <c r="G219" s="1" t="str">
        <f>IMDIV(IMSUM(COMPLEX(V48_Nom,0),IMPRODUCT(COMPLEX(np*(Calculations!$B$28*(V12_Min/V48_Nom)),0),D219)),IMSUM(IMPRODUCT(COMPLEX(((V12_Min/V48_Nom)^2),0),D219),COMPLEX(Rcs/np,(Lm*C219)/np)))</f>
        <v>9.27861929323451E-06-2.21517064032344i</v>
      </c>
      <c r="H219" s="1">
        <f t="shared" si="50"/>
        <v>6.9081437335732296</v>
      </c>
      <c r="I219" s="1">
        <f t="shared" si="51"/>
        <v>-89.999760006874638</v>
      </c>
      <c r="J219" s="82" t="str">
        <f>IMPRODUCT(COMPLEX(-1,0),IMDIV(IMSUM(IMSUB(IMPRODUCT(COMPLEX((1-(V12_Min/V48_Nom))*V48_Nom,0),D219),IMPRODUCT(COMPLEX(V48_Nom,0),D219)),IMPRODUCT(COMPLEX(0,Calculations!$B$28*Lm*C219),D219)),IMSUM(IMPRODUCT(COMPLEX(((V12_Min/V48_Nom)^2),0),D219),COMPLEX(Rcs/np,(Lm*C219)/np))))</f>
        <v>-0.120249874706369+0.00482172818792481i</v>
      </c>
      <c r="K219" s="81">
        <f t="shared" si="52"/>
        <v>-18.391330303127834</v>
      </c>
      <c r="L219" s="81">
        <f t="shared" si="53"/>
        <v>177.70380836068114</v>
      </c>
      <c r="M219" s="1">
        <f t="shared" si="67"/>
        <v>0.58181818181818179</v>
      </c>
      <c r="N219" s="81">
        <f t="shared" si="68"/>
        <v>0.02</v>
      </c>
      <c r="O219" s="81" t="str">
        <f t="shared" si="69"/>
        <v>0.104353282621362-0.401824545728221i</v>
      </c>
      <c r="P219" s="81">
        <f t="shared" si="54"/>
        <v>-7.6358222839353971</v>
      </c>
      <c r="Q219" s="81">
        <f t="shared" si="55"/>
        <v>-75.441959051440151</v>
      </c>
      <c r="R219" s="81" t="str">
        <f t="shared" si="56"/>
        <v>-0.00631624528729739+0.0286859550142487i</v>
      </c>
      <c r="S219" s="81">
        <f t="shared" si="57"/>
        <v>-30.641004494458954</v>
      </c>
      <c r="T219" s="81">
        <f t="shared" si="58"/>
        <v>102.41758238960476</v>
      </c>
      <c r="U219" s="81" t="str">
        <f>IMPRODUCT(COMPLEX(-1,0),IMDIV(COMPLEX(1,C219*Calculations!$B$248*Calculations!$B$250),IMPRODUCT(COMPLEX(0,C219*Calculations!$B$237),COMPLEX((Calculations!$B$250+Calculations!$B$252),C219*Calculations!$B$248*Calculations!$B$250*Calculations!$B$252))))</f>
        <v>-0.00195738624774445+0.0441990372141801i</v>
      </c>
      <c r="V219" s="81">
        <f t="shared" si="59"/>
        <v>-27.083234664322362</v>
      </c>
      <c r="W219" s="81">
        <f t="shared" si="60"/>
        <v>92.535728083180246</v>
      </c>
      <c r="X219" s="81">
        <f>Calculations!$B$216/(Calculations!$B$216+Calculations!$B$218)</f>
        <v>0.6875</v>
      </c>
      <c r="Y219" s="81" t="str">
        <f t="shared" si="61"/>
        <v>-0.000863175679806234-0.000230533499869374i</v>
      </c>
      <c r="Z219" s="81">
        <f t="shared" si="62"/>
        <v>-60.978785108735295</v>
      </c>
      <c r="AA219" s="81">
        <f t="shared" si="63"/>
        <v>-165.04668952721502</v>
      </c>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row>
    <row r="220" spans="1:94">
      <c r="B220" s="1">
        <v>464158.88336127804</v>
      </c>
      <c r="C220" s="1">
        <f t="shared" si="64"/>
        <v>2916396.2761324653</v>
      </c>
      <c r="D220" s="80" t="str">
        <f>IMDIV(COMPLEX((POWER(V48_Nom,2)/(V12_Min*Calculations!$B$28*np)),((Zo_Boost_Cout*Zo_Boost_Resr*POWER(V48_Nom,2))/(V12_Min*Calculations!$B$28*np))*C220),COMPLEX(1,((Zo_Boost_Cout*Zo_Boost_Resr)+((Zo_Boost_Cout*POWER(V48_Nom,2))/(V12_Min*Calculations!$B$28*np)))*C220))</f>
        <v>0.0099960475711666-0.000571028413321754i</v>
      </c>
      <c r="E220" s="1">
        <f t="shared" si="65"/>
        <v>-39.989284398166461</v>
      </c>
      <c r="F220" s="1">
        <f t="shared" si="66"/>
        <v>-3.2694920847655395</v>
      </c>
      <c r="G220" s="1" t="str">
        <f>IMDIV(IMSUM(COMPLEX(V48_Nom,0),IMPRODUCT(COMPLEX(np*(Calculations!$B$28*(V12_Min/V48_Nom)),0),D220)),IMSUM(IMPRODUCT(COMPLEX(((V12_Min/V48_Nom)^2),0),D220),COMPLEX(Rcs/np,(Lm*C220)/np)))</f>
        <v>0.0000055623511840386-1.71512550298614i</v>
      </c>
      <c r="H220" s="1">
        <f t="shared" si="50"/>
        <v>4.6859180941532941</v>
      </c>
      <c r="I220" s="1">
        <f t="shared" si="51"/>
        <v>-89.999814183133282</v>
      </c>
      <c r="J220" s="82" t="str">
        <f>IMPRODUCT(COMPLEX(-1,0),IMDIV(IMSUM(IMSUB(IMPRODUCT(COMPLEX((1-(V12_Min/V48_Nom))*V48_Nom,0),D220),IMPRODUCT(COMPLEX(V48_Nom,0),D220)),IMPRODUCT(COMPLEX(0,Calculations!$B$28*Lm*C220),D220)),IMSUM(IMPRODUCT(COMPLEX(((V12_Min/V48_Nom)^2),0),D220),COMPLEX(Rcs/np,(Lm*C220)/np))))</f>
        <v>-0.120130737567675+0.00373329333839509i</v>
      </c>
      <c r="K220" s="81">
        <f t="shared" si="52"/>
        <v>-18.402724846223222</v>
      </c>
      <c r="L220" s="81">
        <f t="shared" si="53"/>
        <v>178.21999651550368</v>
      </c>
      <c r="M220" s="1">
        <f t="shared" si="67"/>
        <v>0.58181818181818179</v>
      </c>
      <c r="N220" s="81">
        <f t="shared" si="68"/>
        <v>0.02</v>
      </c>
      <c r="O220" s="81" t="str">
        <f t="shared" si="69"/>
        <v>0.0642883767336254-0.319444099676245i</v>
      </c>
      <c r="P220" s="81">
        <f t="shared" si="54"/>
        <v>-9.7396738919599599</v>
      </c>
      <c r="Q220" s="81">
        <f t="shared" si="55"/>
        <v>-78.62117560631215</v>
      </c>
      <c r="R220" s="81" t="str">
        <f t="shared" si="56"/>
        <v>-0.00385309426156196+0.022606124941465i</v>
      </c>
      <c r="S220" s="81">
        <f t="shared" si="57"/>
        <v>-32.791106863186755</v>
      </c>
      <c r="T220" s="81">
        <f t="shared" si="58"/>
        <v>99.672807447130538</v>
      </c>
      <c r="U220" s="81" t="str">
        <f>IMPRODUCT(COMPLEX(-1,0),IMDIV(COMPLEX(1,C220*Calculations!$B$248*Calculations!$B$250),IMPRODUCT(COMPLEX(0,C220*Calculations!$B$237),COMPLEX((Calculations!$B$250+Calculations!$B$252),C220*Calculations!$B$248*Calculations!$B$250*Calculations!$B$252))))</f>
        <v>-0.00117434471352532+0.0342485858014582i</v>
      </c>
      <c r="V220" s="81">
        <f t="shared" si="59"/>
        <v>-29.302044024010961</v>
      </c>
      <c r="W220" s="81">
        <f t="shared" si="60"/>
        <v>91.963837140454814</v>
      </c>
      <c r="X220" s="81">
        <f>Calculations!$B$216/(Calculations!$B$216+Calculations!$B$218)</f>
        <v>0.6875</v>
      </c>
      <c r="Y220" s="81" t="str">
        <f t="shared" si="61"/>
        <v>-0.000529170777313384-0.000108975908756353i</v>
      </c>
      <c r="Z220" s="81">
        <f t="shared" si="62"/>
        <v>-65.347696837151716</v>
      </c>
      <c r="AA220" s="81">
        <f t="shared" si="63"/>
        <v>-168.36335541241462</v>
      </c>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row>
    <row r="221" spans="1:94">
      <c r="B221" s="1">
        <v>599484.25031894213</v>
      </c>
      <c r="C221" s="1">
        <f t="shared" si="64"/>
        <v>3766670.6334895464</v>
      </c>
      <c r="D221" s="80" t="str">
        <f>IMDIV(COMPLEX((POWER(V48_Nom,2)/(V12_Min*Calculations!$B$28*np)),((Zo_Boost_Cout*Zo_Boost_Resr*POWER(V48_Nom,2))/(V12_Min*Calculations!$B$28*np))*C221),COMPLEX(1,((Zo_Boost_Cout*Zo_Boost_Resr)+((Zo_Boost_Cout*POWER(V48_Nom,2))/(V12_Min*Calculations!$B$28*np)))*C221))</f>
        <v>0.00999604238838212-0.000442126562304998i</v>
      </c>
      <c r="E221" s="1">
        <f t="shared" si="65"/>
        <v>-39.99495038398242</v>
      </c>
      <c r="F221" s="1">
        <f t="shared" si="66"/>
        <v>-2.5325509198136338</v>
      </c>
      <c r="G221" s="1" t="str">
        <f>IMDIV(IMSUM(COMPLEX(V48_Nom,0),IMPRODUCT(COMPLEX(np*(Calculations!$B$28*(V12_Min/V48_Nom)),0),D221)),IMSUM(IMPRODUCT(COMPLEX(((V12_Min/V48_Nom)^2),0),D221),COMPLEX(Rcs/np,(Lm*C221)/np)))</f>
        <v>0.0000033345293703028-1.32795907500774i</v>
      </c>
      <c r="H221" s="1">
        <f t="shared" si="50"/>
        <v>2.4636938233755012</v>
      </c>
      <c r="I221" s="1">
        <f t="shared" si="51"/>
        <v>-89.999856129256415</v>
      </c>
      <c r="J221" s="82" t="str">
        <f>IMPRODUCT(COMPLEX(-1,0),IMDIV(IMSUM(IMSUB(IMPRODUCT(COMPLEX((1-(V12_Min/V48_Nom))*V48_Nom,0),D221),IMPRODUCT(COMPLEX(V48_Nom,0),D221)),IMPRODUCT(COMPLEX(0,Calculations!$B$28*Lm*C221),D221)),IMSUM(IMPRODUCT(COMPLEX(((V12_Min/V48_Nom)^2),0),D221),COMPLEX(Rcs/np,(Lm*C221)/np))))</f>
        <v>-0.120059316774222+0.00289055545142969i</v>
      </c>
      <c r="K221" s="81">
        <f t="shared" si="52"/>
        <v>-18.40956596074745</v>
      </c>
      <c r="L221" s="81">
        <f t="shared" si="53"/>
        <v>178.62080975366553</v>
      </c>
      <c r="M221" s="1">
        <f t="shared" si="67"/>
        <v>0.58181818181818179</v>
      </c>
      <c r="N221" s="81">
        <f t="shared" si="68"/>
        <v>0.02</v>
      </c>
      <c r="O221" s="81" t="str">
        <f t="shared" si="69"/>
        <v>0.0391896525115539-0.251372371750085i</v>
      </c>
      <c r="P221" s="81">
        <f t="shared" si="54"/>
        <v>-11.889353342400854</v>
      </c>
      <c r="Q221" s="81">
        <f t="shared" si="55"/>
        <v>-81.138761784616221</v>
      </c>
      <c r="R221" s="81" t="str">
        <f t="shared" si="56"/>
        <v>-0.0023345327850394+0.0176922547882604i</v>
      </c>
      <c r="S221" s="81">
        <f t="shared" si="57"/>
        <v>-34.969370321645791</v>
      </c>
      <c r="T221" s="81">
        <f t="shared" si="58"/>
        <v>97.516881155351214</v>
      </c>
      <c r="U221" s="81" t="str">
        <f>IMPRODUCT(COMPLEX(-1,0),IMDIV(COMPLEX(1,C221*Calculations!$B$248*Calculations!$B$250),IMPRODUCT(COMPLEX(0,C221*Calculations!$B$237),COMPLEX((Calculations!$B$250+Calculations!$B$252),C221*Calculations!$B$248*Calculations!$B$250*Calculations!$B$252))))</f>
        <v>-0.00070433310162582+0.0265299268186742i</v>
      </c>
      <c r="V221" s="81">
        <f t="shared" si="59"/>
        <v>-31.522219002329599</v>
      </c>
      <c r="W221" s="81">
        <f t="shared" si="60"/>
        <v>91.52076698786496</v>
      </c>
      <c r="X221" s="81">
        <f>Calculations!$B$216/(Calculations!$B$216+Calculations!$B$218)</f>
        <v>0.6875</v>
      </c>
      <c r="Y221" s="81" t="str">
        <f t="shared" si="61"/>
        <v>-0.00032156433104988-0.0000511474044349542i</v>
      </c>
      <c r="Z221" s="81">
        <f t="shared" si="62"/>
        <v>-69.746135273929383</v>
      </c>
      <c r="AA221" s="81">
        <f t="shared" si="63"/>
        <v>-170.96235185678381</v>
      </c>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4"/>
      <c r="CD221" s="44"/>
      <c r="CE221" s="44"/>
      <c r="CF221" s="44"/>
      <c r="CG221" s="44"/>
      <c r="CH221" s="44"/>
      <c r="CI221" s="44"/>
      <c r="CJ221" s="44"/>
      <c r="CK221" s="44"/>
      <c r="CL221" s="44"/>
      <c r="CM221" s="44"/>
      <c r="CN221" s="44"/>
      <c r="CO221" s="44"/>
      <c r="CP221" s="44"/>
    </row>
    <row r="222" spans="1:94">
      <c r="B222" s="1">
        <v>774263.68268112827</v>
      </c>
      <c r="C222" s="1">
        <f t="shared" si="64"/>
        <v>4864842.1949048229</v>
      </c>
      <c r="D222" s="80" t="str">
        <f>IMDIV(COMPLEX((POWER(V48_Nom,2)/(V12_Min*Calculations!$B$28*np)),((Zo_Boost_Cout*Zo_Boost_Resr*POWER(V48_Nom,2))/(V12_Min*Calculations!$B$28*np))*C222),COMPLEX(1,((Zo_Boost_Cout*Zo_Boost_Resr)+((Zo_Boost_Cout*POWER(V48_Nom,2))/(V12_Min*Calculations!$B$28*np)))*C222))</f>
        <v>0.00999603928138442-0.000342322540383623i</v>
      </c>
      <c r="E222" s="1">
        <f t="shared" si="65"/>
        <v>-39.998350600640897</v>
      </c>
      <c r="F222" s="1">
        <f t="shared" si="66"/>
        <v>-1.9613743171003795</v>
      </c>
      <c r="G222" s="1" t="str">
        <f>IMDIV(IMSUM(COMPLEX(V48_Nom,0),IMPRODUCT(COMPLEX(np*(Calculations!$B$28*(V12_Min/V48_Nom)),0),D222)),IMSUM(IMPRODUCT(COMPLEX(((V12_Min/V48_Nom)^2),0),D222),COMPLEX(Rcs/np,(Lm*C222)/np)))</f>
        <v>1.99899332615767E-06-1.0281903384933i</v>
      </c>
      <c r="H222" s="1">
        <f t="shared" si="50"/>
        <v>0.24147037307670249</v>
      </c>
      <c r="I222" s="1">
        <f t="shared" si="51"/>
        <v>-89.999888606344015</v>
      </c>
      <c r="J222" s="82" t="str">
        <f>IMPRODUCT(COMPLEX(-1,0),IMDIV(IMSUM(IMSUB(IMPRODUCT(COMPLEX((1-(V12_Min/V48_Nom))*V48_Nom,0),D222),IMPRODUCT(COMPLEX(V48_Nom,0),D222)),IMPRODUCT(COMPLEX(0,Calculations!$B$28*Lm*C222),D222)),IMSUM(IMPRODUCT(COMPLEX(((V12_Min/V48_Nom)^2),0),D222),COMPLEX(Rcs/np,(Lm*C222)/np))))</f>
        <v>-0.120016501149508+0.00223805303839511i</v>
      </c>
      <c r="K222" s="81">
        <f t="shared" si="52"/>
        <v>-18.413670800503592</v>
      </c>
      <c r="L222" s="81">
        <f t="shared" si="53"/>
        <v>178.93167913183495</v>
      </c>
      <c r="M222" s="1">
        <f t="shared" si="67"/>
        <v>0.58181818181818179</v>
      </c>
      <c r="N222" s="81">
        <f t="shared" si="68"/>
        <v>0.02</v>
      </c>
      <c r="O222" s="81" t="str">
        <f t="shared" si="69"/>
        <v>0.0237334611371229-0.196554026039101i</v>
      </c>
      <c r="P222" s="81">
        <f t="shared" si="54"/>
        <v>-14.067498044184347</v>
      </c>
      <c r="Q222" s="81">
        <f t="shared" si="55"/>
        <v>-83.114994230015498</v>
      </c>
      <c r="R222" s="81" t="str">
        <f t="shared" si="56"/>
        <v>-0.00140854172541773+0.0137878603127053i</v>
      </c>
      <c r="S222" s="81">
        <f t="shared" si="57"/>
        <v>-37.164973194224046</v>
      </c>
      <c r="T222" s="81">
        <f t="shared" si="58"/>
        <v>95.832993025831755</v>
      </c>
      <c r="U222" s="81" t="str">
        <f>IMPRODUCT(COMPLEX(-1,0),IMDIV(COMPLEX(1,C222*Calculations!$B$248*Calculations!$B$250),IMPRODUCT(COMPLEX(0,C222*Calculations!$B$237),COMPLEX((Calculations!$B$250+Calculations!$B$252),C222*Calculations!$B$248*Calculations!$B$250*Calculations!$B$252))))</f>
        <v>-0.000422355984957615+0.020546960859408i</v>
      </c>
      <c r="V222" s="81">
        <f t="shared" si="59"/>
        <v>-33.743213471232139</v>
      </c>
      <c r="W222" s="81">
        <f t="shared" si="60"/>
        <v>91.177585730830515</v>
      </c>
      <c r="X222" s="81">
        <f>Calculations!$B$216/(Calculations!$B$216+Calculations!$B$218)</f>
        <v>0.6875</v>
      </c>
      <c r="Y222" s="81" t="str">
        <f t="shared" si="61"/>
        <v>-0.000194358807604739-0.0000239006879538844i</v>
      </c>
      <c r="Z222" s="81">
        <f t="shared" si="62"/>
        <v>-74.162732615410192</v>
      </c>
      <c r="AA222" s="81">
        <f t="shared" si="63"/>
        <v>-172.98942124333772</v>
      </c>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row>
    <row r="223" spans="1:94" ht="15.75" thickBot="1">
      <c r="B223" s="122">
        <v>1000000</v>
      </c>
      <c r="C223" s="122">
        <f t="shared" si="64"/>
        <v>6283185.307179586</v>
      </c>
      <c r="D223" s="80" t="str">
        <f>IMDIV(COMPLEX((POWER(V48_Nom,2)/(V12_Min*Calculations!$B$28*np)),((Zo_Boost_Cout*Zo_Boost_Resr*POWER(V48_Nom,2))/(V12_Min*Calculations!$B$28*np))*C223),COMPLEX(1,((Zo_Boost_Cout*Zo_Boost_Resr)+((Zo_Boost_Cout*POWER(V48_Nom,2))/(V12_Min*Calculations!$B$28*np)))*C223))</f>
        <v>0.00999603741878826-0.000265047910801775i</v>
      </c>
      <c r="E223" s="122">
        <f t="shared" si="65"/>
        <v>-40.000390254019905</v>
      </c>
      <c r="F223" s="122">
        <f t="shared" si="66"/>
        <v>-1.5188587834909719</v>
      </c>
      <c r="G223" s="1" t="str">
        <f>IMDIV(IMSUM(COMPLEX(V48_Nom,0),IMPRODUCT(COMPLEX(np*(Calculations!$B$28*(V12_Min/V48_Nom)),0),D223)),IMSUM(IMPRODUCT(COMPLEX(((V12_Min/V48_Nom)^2),0),D223),COMPLEX(Rcs/np,(Lm*C223)/np)))</f>
        <v>1.19836339343384E-06-0.796090370503279i</v>
      </c>
      <c r="H223" s="122">
        <f t="shared" si="50"/>
        <v>-1.9807525853580141</v>
      </c>
      <c r="I223" s="122">
        <f t="shared" si="51"/>
        <v>-89.999913752047121</v>
      </c>
      <c r="J223" s="82" t="str">
        <f>IMPRODUCT(COMPLEX(-1,0),IMDIV(IMSUM(IMSUB(IMPRODUCT(COMPLEX((1-(V12_Min/V48_Nom))*V48_Nom,0),D223),IMPRODUCT(COMPLEX(V48_Nom,0),D223)),IMPRODUCT(COMPLEX(0,Calculations!$B$28*Lm*C223),D223)),IMSUM(IMPRODUCT(COMPLEX(((V12_Min/V48_Nom)^2),0),D223),COMPLEX(Rcs/np,(Lm*C223)/np))))</f>
        <v>-0.119990833862614+0.00173284361901475i</v>
      </c>
      <c r="K223" s="103">
        <f t="shared" si="52"/>
        <v>-18.416132918957462</v>
      </c>
      <c r="L223" s="103">
        <f t="shared" si="53"/>
        <v>179.17262242906367</v>
      </c>
      <c r="M223" s="1">
        <f t="shared" si="67"/>
        <v>0.58181818181818179</v>
      </c>
      <c r="N223" s="103">
        <f t="shared" si="68"/>
        <v>0.02</v>
      </c>
      <c r="O223" s="103" t="str">
        <f t="shared" si="69"/>
        <v>0.0143154617627854-0.153093081110147i</v>
      </c>
      <c r="P223" s="103">
        <f t="shared" si="54"/>
        <v>-16.263079996543549</v>
      </c>
      <c r="Q223" s="103">
        <f t="shared" si="55"/>
        <v>-84.657907450966107</v>
      </c>
      <c r="R223" s="103" t="str">
        <f t="shared" si="56"/>
        <v>-0.000847678189274296+0.0107173838680376i</v>
      </c>
      <c r="S223" s="103">
        <f t="shared" si="57"/>
        <v>-39.371140209695874</v>
      </c>
      <c r="T223" s="103">
        <f t="shared" si="58"/>
        <v>94.522324037734421</v>
      </c>
      <c r="U223" s="103" t="str">
        <f>IMPRODUCT(COMPLEX(-1,0),IMDIV(COMPLEX(1,C223*Calculations!$B$248*Calculations!$B$250),IMPRODUCT(COMPLEX(0,C223*Calculations!$B$237),COMPLEX((Calculations!$B$250+Calculations!$B$252),C223*Calculations!$B$248*Calculations!$B$250*Calculations!$B$252))))</f>
        <v>-0.000253238684641302+0.0159114598599264i</v>
      </c>
      <c r="V223" s="103">
        <f t="shared" si="59"/>
        <v>-35.964699508236407</v>
      </c>
      <c r="W223" s="103">
        <f t="shared" si="60"/>
        <v>90.911813438456861</v>
      </c>
      <c r="X223" s="81">
        <f>Calculations!$B$216/(Calculations!$B$216+Calculations!$B$218)</f>
        <v>0.6875</v>
      </c>
      <c r="Y223" s="81" t="str">
        <f t="shared" si="61"/>
        <v>-0.000117091258838161-0.0000111387744024637i</v>
      </c>
      <c r="Z223" s="103">
        <f t="shared" si="62"/>
        <v>-78.590385667886267</v>
      </c>
      <c r="AA223" s="103">
        <f t="shared" si="63"/>
        <v>-174.5658625238087</v>
      </c>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4"/>
      <c r="CD223" s="44"/>
      <c r="CE223" s="44"/>
      <c r="CF223" s="44"/>
      <c r="CG223" s="44"/>
      <c r="CH223" s="44"/>
      <c r="CI223" s="44"/>
      <c r="CJ223" s="44"/>
      <c r="CK223" s="44"/>
      <c r="CL223" s="44"/>
      <c r="CM223" s="44"/>
      <c r="CN223" s="44"/>
      <c r="CO223" s="44"/>
      <c r="CP223" s="44"/>
    </row>
    <row r="224" spans="1:94">
      <c r="A224" s="79" t="s">
        <v>308</v>
      </c>
      <c r="B224" s="113">
        <f>Calculations!B242</f>
        <v>3000</v>
      </c>
      <c r="C224" s="114">
        <f t="shared" si="64"/>
        <v>18849.555921538758</v>
      </c>
      <c r="D224" s="80" t="str">
        <f>IMDIV(COMPLEX((POWER(V48_Nom,2)/(V12_Min*Calculations!$B$28*np)),((Zo_Boost_Cout*Zo_Boost_Resr*POWER(V48_Nom,2))/(V12_Min*Calculations!$B$28*np))*C224),COMPLEX(1,((Zo_Boost_Cout*Zo_Boost_Resr)+((Zo_Boost_Cout*POWER(V48_Nom,2))/(V12_Min*Calculations!$B$28*np)))*C224))</f>
        <v>0.0103057972712517-0.0883482175342006i</v>
      </c>
      <c r="E224" s="114">
        <f t="shared" si="65"/>
        <v>-21.017347450843967</v>
      </c>
      <c r="F224" s="114">
        <f>IMARGUMENT(D224)*(180/PI())</f>
        <v>-83.346531332872559</v>
      </c>
      <c r="G224" s="1" t="str">
        <f>IMDIV(IMSUM(COMPLEX(V48_Nom,0),IMPRODUCT(COMPLEX(np*(Calculations!$B$28*(V12_Min/V48_Nom)),0),D224)),IMSUM(IMPRODUCT(COMPLEX(((V12_Min/V48_Nom)^2),0),D224),COMPLEX(Rcs/np,(Lm*C224)/np)))</f>
        <v>0.16395990595022-269.157288209135i</v>
      </c>
      <c r="H224" s="114">
        <f t="shared" si="50"/>
        <v>48.600124493271089</v>
      </c>
      <c r="I224" s="114">
        <f>IMARGUMENT(G224)*(180/PI())</f>
        <v>-89.965097696143303</v>
      </c>
      <c r="J224" s="82" t="str">
        <f>IMPRODUCT(COMPLEX(-1,0),IMDIV(IMSUM(IMSUB(IMPRODUCT(COMPLEX((1-(V12_Min/V48_Nom))*V48_Nom,0),D224),IMPRODUCT(COMPLEX(V48_Nom,0),D224)),IMPRODUCT(COMPLEX(0,Calculations!$B$28*Lm*C224),D224)),IMSUM(IMPRODUCT(COMPLEX(((V12_Min/V48_Nom)^2),0),D224),COMPLEX(Rcs/np,(Lm*C224)/np))))</f>
        <v>-4.44951170804992+0.552889831021647i</v>
      </c>
      <c r="K224" s="114">
        <f t="shared" si="52"/>
        <v>13.032790538671362</v>
      </c>
      <c r="L224" s="114">
        <f>IMARGUMENT(J224)*(180/PI())</f>
        <v>172.91681638121793</v>
      </c>
      <c r="M224" s="1">
        <f t="shared" si="67"/>
        <v>0.58181818181818179</v>
      </c>
      <c r="N224" s="114">
        <f t="shared" si="68"/>
        <v>0.02</v>
      </c>
      <c r="O224" s="114" t="str">
        <f t="shared" si="69"/>
        <v>1.55144043721957-1.60859511874481i</v>
      </c>
      <c r="P224" s="114">
        <f t="shared" si="54"/>
        <v>6.9849599007734824</v>
      </c>
      <c r="Q224" s="114">
        <f>IMARGUMENT(O224)*(180/PI())</f>
        <v>-46.036179801416019</v>
      </c>
      <c r="R224" s="114" t="str">
        <f>IMDIV(IMPRODUCT(O224,J224,COMPLEX(M224,0)),IMSUM(COMPLEX(1,0),IMPRODUCT(G224,O224,COMPLEX(M224,0),COMPLEX(N224,0))))</f>
        <v>-0.214300216730865-0.897467199600351i</v>
      </c>
      <c r="S224" s="114">
        <f t="shared" si="57"/>
        <v>-0.69880658848122423</v>
      </c>
      <c r="T224" s="114">
        <f>IMARGUMENT(R224)*(180/PI())</f>
        <v>-103.42980228326522</v>
      </c>
      <c r="U224" s="116" t="str">
        <f>IMPRODUCT(COMPLEX(-1,0),IMDIV(COMPLEX(1,C224*Calculations!$B$248*Calculations!$B$250),IMPRODUCT(COMPLEX(0,C224*Calculations!$B$237),COMPLEX((Calculations!$B$250+Calculations!$B$252),C224*Calculations!$B$248*Calculations!$B$250*Calculations!$B$252))))</f>
        <v>-0.963826088075062+0.186795306920898i</v>
      </c>
      <c r="V224" s="116">
        <f t="shared" si="59"/>
        <v>-0.15989099791704298</v>
      </c>
      <c r="W224" s="116">
        <f t="shared" si="60"/>
        <v>169.03170926246131</v>
      </c>
      <c r="X224" s="81">
        <f>Calculations!$B$216/(Calculations!$B$216+Calculations!$B$218)</f>
        <v>0.6875</v>
      </c>
      <c r="Y224" s="81" t="str">
        <f t="shared" si="61"/>
        <v>0.257256175389217+0.567168267468708i</v>
      </c>
      <c r="Z224" s="116">
        <f t="shared" si="62"/>
        <v>-4.1132435363522655</v>
      </c>
      <c r="AA224" s="117">
        <f t="shared" si="63"/>
        <v>65.601906979196087</v>
      </c>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4"/>
      <c r="CD224" s="44"/>
      <c r="CE224" s="44"/>
      <c r="CF224" s="44"/>
      <c r="CG224" s="44"/>
      <c r="CH224" s="44"/>
      <c r="CI224" s="44"/>
      <c r="CJ224" s="44"/>
      <c r="CK224" s="44"/>
      <c r="CL224" s="44"/>
      <c r="CM224" s="44"/>
      <c r="CN224" s="44"/>
      <c r="CO224" s="44"/>
      <c r="CP224" s="44"/>
    </row>
    <row r="225" spans="1:94">
      <c r="A225" t="s">
        <v>343</v>
      </c>
      <c r="B225" s="123">
        <f>Calculations!B270*1000</f>
        <v>15.915494309189533</v>
      </c>
      <c r="C225" s="97">
        <f t="shared" si="64"/>
        <v>100</v>
      </c>
      <c r="D225" s="80" t="str">
        <f>IMDIV(COMPLEX((POWER(V48_Nom,2)/(V12_Min*Calculations!$B$28*np)),((Zo_Boost_Cout*Zo_Boost_Resr*POWER(V48_Nom,2))/(V12_Min*Calculations!$B$28*np))*C225),COMPLEX(1,((Zo_Boost_Cout*Zo_Boost_Resr)+((Zo_Boost_Cout*POWER(V48_Nom,2))/(V12_Min*Calculations!$B$28*np)))*C225))</f>
        <v>7.67029540371479-11.5907989753609i</v>
      </c>
      <c r="E225" s="97">
        <f t="shared" si="65"/>
        <v>22.859622796852808</v>
      </c>
      <c r="F225" s="97">
        <f>IMARGUMENT(D225)*(180/PI())</f>
        <v>-56.505111903525453</v>
      </c>
      <c r="G225" s="1" t="str">
        <f>IMDIV(IMSUM(COMPLEX(V48_Nom,0),IMPRODUCT(COMPLEX(np*(Calculations!$B$28*(V12_Min/V48_Nom)),0),D225)),IMSUM(IMPRODUCT(COMPLEX(((V12_Min/V48_Nom)^2),0),D225),COMPLEX(Rcs/np,(Lm*C225)/np)))</f>
        <v>132.466944608551+99.6688685386772i</v>
      </c>
      <c r="H225" s="97">
        <f t="shared" si="50"/>
        <v>44.390384547325837</v>
      </c>
      <c r="I225" s="97">
        <f>IMARGUMENT(G225)*(180/PI())</f>
        <v>36.958006839575546</v>
      </c>
      <c r="J225" s="82" t="str">
        <f>IMPRODUCT(COMPLEX(-1,0),IMDIV(IMSUM(IMSUB(IMPRODUCT(COMPLEX((1-(V12_Min/V48_Nom))*V48_Nom,0),D225),IMPRODUCT(COMPLEX(V48_Nom,0),D225)),IMPRODUCT(COMPLEX(0,Calculations!$B$28*Lm*C225),D225)),IMSUM(IMPRODUCT(COMPLEX(((V12_Min/V48_Nom)^2),0),D225),COMPLEX(Rcs/np,(Lm*C225)/np))))</f>
        <v>302.92046537165-1.07592004167475i</v>
      </c>
      <c r="K225" s="97">
        <f t="shared" si="52"/>
        <v>49.62662709490872</v>
      </c>
      <c r="L225" s="97">
        <f>IMARGUMENT(J225)*(180/PI())</f>
        <v>-0.20350364303878177</v>
      </c>
      <c r="M225" s="1">
        <f t="shared" si="67"/>
        <v>0.58181818181818179</v>
      </c>
      <c r="N225" s="97">
        <f t="shared" si="68"/>
        <v>0.02</v>
      </c>
      <c r="O225" s="97" t="str">
        <f t="shared" si="69"/>
        <v>1.55294113419177-294.117903294112i</v>
      </c>
      <c r="P225" s="97">
        <f t="shared" si="54"/>
        <v>49.370550298746139</v>
      </c>
      <c r="Q225" s="97">
        <f>IMARGUMENT(O225)*(180/PI())</f>
        <v>-89.697481367182959</v>
      </c>
      <c r="R225" s="97" t="str">
        <f>IMDIV(IMPRODUCT(O225,J225,COMPLEX(M225,0)),IMSUM(COMPLEX(1,0),IMPRODUCT(G225,O225,COMPLEX(M225,0),COMPLEX(N225,0))))</f>
        <v>72.6574149857929-55.2335689129004i</v>
      </c>
      <c r="S225" s="97">
        <f t="shared" si="57"/>
        <v>39.20637029046317</v>
      </c>
      <c r="T225" s="97">
        <f>IMARGUMENT(R225)*(180/PI())</f>
        <v>-37.241798107745339</v>
      </c>
      <c r="U225" s="81" t="str">
        <f>IMPRODUCT(COMPLEX(-1,0),IMDIV(COMPLEX(1,C225*Calculations!$B$248*Calculations!$B$250),IMPRODUCT(COMPLEX(0,C225*Calculations!$B$237),COMPLEX((Calculations!$B$250+Calculations!$B$252),C225*Calculations!$B$248*Calculations!$B$250*Calculations!$B$252))))</f>
        <v>-0.998001999996008+0.999998003996i</v>
      </c>
      <c r="V225" s="81">
        <f t="shared" si="59"/>
        <v>3.0016140727836618</v>
      </c>
      <c r="W225" s="81">
        <f>IMARGUMENT(U225)*(180/PI())</f>
        <v>134.94276147806929</v>
      </c>
      <c r="X225" s="81">
        <f>Calculations!$B$216/(Calculations!$B$216+Calculations!$B$218)</f>
        <v>0.6875</v>
      </c>
      <c r="Y225" s="81" t="str">
        <f t="shared" si="61"/>
        <v>-11.8791659276711+87.8490815147646i</v>
      </c>
      <c r="Z225" s="81">
        <f t="shared" si="62"/>
        <v>38.953438413292837</v>
      </c>
      <c r="AA225" s="88">
        <f>IMARGUMENT(Y225)*(180/PI())</f>
        <v>97.700963370323905</v>
      </c>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4"/>
      <c r="CD225" s="44"/>
      <c r="CE225" s="44"/>
      <c r="CF225" s="44"/>
      <c r="CG225" s="44"/>
      <c r="CH225" s="44"/>
      <c r="CI225" s="44"/>
      <c r="CJ225" s="44"/>
      <c r="CK225" s="44"/>
      <c r="CL225" s="44"/>
      <c r="CM225" s="44"/>
      <c r="CN225" s="44"/>
      <c r="CO225" s="44"/>
      <c r="CP225" s="44"/>
    </row>
    <row r="226" spans="1:94">
      <c r="A226" t="s">
        <v>344</v>
      </c>
      <c r="B226" s="29">
        <f>Calculations!B271*1000</f>
        <v>15915.494309189533</v>
      </c>
      <c r="C226" s="97">
        <f t="shared" si="64"/>
        <v>99999.999999999985</v>
      </c>
      <c r="D226" s="80" t="str">
        <f>IMDIV(COMPLEX((POWER(V48_Nom,2)/(V12_Min*Calculations!$B$28*np)),((Zo_Boost_Cout*Zo_Boost_Resr*POWER(V48_Nom,2))/(V12_Min*Calculations!$B$28*np))*C226),COMPLEX(1,((Zo_Boost_Cout*Zo_Boost_Resr)+((Zo_Boost_Cout*POWER(V48_Nom,2))/(V12_Min*Calculations!$B$28*np)))*C226))</f>
        <v>0.0100070408063686-0.0166534441164014i</v>
      </c>
      <c r="E226" s="97">
        <f t="shared" si="65"/>
        <v>-34.231082779808446</v>
      </c>
      <c r="F226" s="97">
        <f>IMARGUMENT(D226)*(180/PI())</f>
        <v>-58.998376987739448</v>
      </c>
      <c r="G226" s="1" t="str">
        <f>IMDIV(IMSUM(COMPLEX(V48_Nom,0),IMPRODUCT(COMPLEX(np*(Calculations!$B$28*(V12_Min/V48_Nom)),0),D226)),IMSUM(IMPRODUCT(COMPLEX(((V12_Min/V48_Nom)^2),0),D226),COMPLEX(Rcs/np,(Lm*C226)/np)))</f>
        <v>0.00476881625391747-50.0448914995353i</v>
      </c>
      <c r="H226" s="97">
        <f t="shared" si="50"/>
        <v>33.987195079620662</v>
      </c>
      <c r="I226" s="97">
        <f>IMARGUMENT(G226)*(180/PI())</f>
        <v>-89.994540241059411</v>
      </c>
      <c r="J226" s="82" t="str">
        <f>IMPRODUCT(COMPLEX(-1,0),IMDIV(IMSUM(IMSUB(IMPRODUCT(COMPLEX((1-(V12_Min/V48_Nom))*V48_Nom,0),D226),IMPRODUCT(COMPLEX(V48_Nom,0),D226)),IMPRODUCT(COMPLEX(0,Calculations!$B$28*Lm*C226),D226)),IMSUM(IMPRODUCT(COMPLEX(((V12_Min/V48_Nom)^2),0),D226),COMPLEX(Rcs/np,(Lm*C226)/np))))</f>
        <v>-0.271697527566046+0.108717433451698i</v>
      </c>
      <c r="K226" s="97">
        <f t="shared" si="52"/>
        <v>-10.673282765517234</v>
      </c>
      <c r="L226" s="97">
        <f>IMARGUMENT(J226)*(180/PI())</f>
        <v>158.19160589736896</v>
      </c>
      <c r="M226" s="1">
        <f t="shared" si="67"/>
        <v>0.58181818181818179</v>
      </c>
      <c r="N226" s="97">
        <f t="shared" si="68"/>
        <v>0.02</v>
      </c>
      <c r="O226" s="97" t="str">
        <f t="shared" si="69"/>
        <v>1.51178288736216-0.54356182347358i</v>
      </c>
      <c r="P226" s="97">
        <f t="shared" si="54"/>
        <v>4.1177907869245924</v>
      </c>
      <c r="Q226" s="97">
        <f>IMARGUMENT(O226)*(180/PI())</f>
        <v>-19.776057708092694</v>
      </c>
      <c r="R226" s="97" t="str">
        <f>IMDIV(IMPRODUCT(O226,J226,COMPLEX(M226,0)),IMSUM(COMPLEX(1,0),IMPRODUCT(G226,O226,COMPLEX(M226,0),COMPLEX(N226,0))))</f>
        <v>-0.241230001098612-0.045100240269746i</v>
      </c>
      <c r="S226" s="97">
        <f t="shared" si="57"/>
        <v>-12.202163760610837</v>
      </c>
      <c r="T226" s="97">
        <f>IMARGUMENT(R226)*(180/PI())</f>
        <v>-169.41026429089771</v>
      </c>
      <c r="U226" s="81" t="str">
        <f>IMPRODUCT(COMPLEX(-1,0),IMDIV(COMPLEX(1,C226*Calculations!$B$248*Calculations!$B$250),IMPRODUCT(COMPLEX(0,C226*Calculations!$B$237),COMPLEX((Calculations!$B$250+Calculations!$B$252),C226*Calculations!$B$248*Calculations!$B$250*Calculations!$B$252))))</f>
        <v>-0.499500249999875+0.500000249750125i</v>
      </c>
      <c r="V226" s="81">
        <f t="shared" si="59"/>
        <v>-3.0146385577929169</v>
      </c>
      <c r="W226" s="81">
        <f>IMARGUMENT(U226)*(180/PI())</f>
        <v>134.9713378101718</v>
      </c>
      <c r="X226" s="81">
        <f>Calculations!$B$216/(Calculations!$B$216+Calculations!$B$218)</f>
        <v>0.6875</v>
      </c>
      <c r="Y226" s="81" t="str">
        <f t="shared" si="61"/>
        <v>0.0983431468627369-0.0674351421608813i</v>
      </c>
      <c r="Z226" s="81">
        <f t="shared" si="62"/>
        <v>-18.471348268357765</v>
      </c>
      <c r="AA226" s="88">
        <f>IMARGUMENT(Y226)*(180/PI())</f>
        <v>-34.438926480725996</v>
      </c>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4"/>
      <c r="CG226" s="44"/>
      <c r="CH226" s="44"/>
      <c r="CI226" s="44"/>
      <c r="CJ226" s="44"/>
      <c r="CK226" s="44"/>
      <c r="CL226" s="44"/>
      <c r="CM226" s="44"/>
      <c r="CN226" s="44"/>
      <c r="CO226" s="44"/>
      <c r="CP226" s="44"/>
    </row>
    <row r="227" spans="1:94">
      <c r="A227" t="s">
        <v>345</v>
      </c>
      <c r="B227" s="29">
        <f>Calculations!B239</f>
        <v>21.045281731159719</v>
      </c>
      <c r="C227" s="97">
        <f t="shared" si="64"/>
        <v>132.2314049586777</v>
      </c>
      <c r="D227" s="80" t="str">
        <f>IMDIV(COMPLEX((POWER(V48_Nom,2)/(V12_Min*Calculations!$B$28*np)),((Zo_Boost_Cout*Zo_Boost_Resr*POWER(V48_Nom,2))/(V12_Min*Calculations!$B$28*np))*C227),COMPLEX(1,((Zo_Boost_Cout*Zo_Boost_Resr)+((Zo_Boost_Cout*POWER(V48_Nom,2))/(V12_Min*Calculations!$B$28*np)))*C227))</f>
        <v>5.04646615861632-10.076936125094i</v>
      </c>
      <c r="E227" s="97">
        <f t="shared" si="65"/>
        <v>21.038429163477229</v>
      </c>
      <c r="F227" s="97">
        <f>IMARGUMENT(D227)*(180/PI())</f>
        <v>-63.398579701211744</v>
      </c>
      <c r="G227" s="1" t="str">
        <f>IMDIV(IMSUM(COMPLEX(V48_Nom,0),IMPRODUCT(COMPLEX(np*(Calculations!$B$28*(V12_Min/V48_Nom)),0),D227)),IMSUM(IMPRODUCT(COMPLEX(((V12_Min/V48_Nom)^2),0),D227),COMPLEX(Rcs/np,(Lm*C227)/np)))</f>
        <v>132.877873111048+131.989607253843i</v>
      </c>
      <c r="H227" s="97">
        <f t="shared" si="50"/>
        <v>45.450321691200045</v>
      </c>
      <c r="I227" s="97">
        <f>IMARGUMENT(G227)*(180/PI())</f>
        <v>44.807852236760255</v>
      </c>
      <c r="J227" s="82" t="str">
        <f>IMPRODUCT(COMPLEX(-1,0),IMDIV(IMSUM(IMSUB(IMPRODUCT(COMPLEX((1-(V12_Min/V48_Nom))*V48_Nom,0),D227),IMPRODUCT(COMPLEX(V48_Nom,0),D227)),IMPRODUCT(COMPLEX(0,Calculations!$B$28*Lm*C227),D227)),IMSUM(IMPRODUCT(COMPLEX(((V12_Min/V48_Nom)^2),0),D227),COMPLEX(Rcs/np,(Lm*C227)/np))))</f>
        <v>303.372527162684-1.42653260898555i</v>
      </c>
      <c r="K227" s="97">
        <f t="shared" si="52"/>
        <v>49.639621013381358</v>
      </c>
      <c r="L227" s="97">
        <f>IMARGUMENT(J227)*(180/PI())</f>
        <v>-0.26941693169302527</v>
      </c>
      <c r="M227" s="1">
        <f t="shared" si="67"/>
        <v>0.58181818181818179</v>
      </c>
      <c r="N227" s="97">
        <f t="shared" si="68"/>
        <v>0.02</v>
      </c>
      <c r="O227" s="97" t="str">
        <f t="shared" si="69"/>
        <v>1.55294110254546-222.426809411748i</v>
      </c>
      <c r="P227" s="97">
        <f t="shared" si="54"/>
        <v>46.943954338050901</v>
      </c>
      <c r="Q227" s="97">
        <f>IMARGUMENT(O227)*(180/PI())</f>
        <v>-89.599978412945745</v>
      </c>
      <c r="R227" s="97" t="str">
        <f>IMDIV(IMPRODUCT(O227,J227,COMPLEX(M227,0)),IMSUM(COMPLEX(1,0),IMPRODUCT(G227,O227,COMPLEX(M227,0),COMPLEX(N227,0))))</f>
        <v>57.0249397578358-57.3451578372379i</v>
      </c>
      <c r="S227" s="97">
        <f t="shared" si="57"/>
        <v>38.155983922118992</v>
      </c>
      <c r="T227" s="97">
        <f>IMARGUMENT(R227)*(180/PI())</f>
        <v>-45.16041864891077</v>
      </c>
      <c r="U227" s="81" t="str">
        <f>IMPRODUCT(COMPLEX(-1,0),IMDIV(COMPLEX(1,C227*Calculations!$B$248*Calculations!$B$250),IMPRODUCT(COMPLEX(0,C227*Calculations!$B$237),COMPLEX((Calculations!$B$250+Calculations!$B$252),C227*Calculations!$B$248*Calculations!$B$250*Calculations!$B$252))))</f>
        <v>-0.998001254470192+0.756812858222065i</v>
      </c>
      <c r="V227" s="81">
        <f t="shared" si="59"/>
        <v>1.9555988639664044</v>
      </c>
      <c r="W227" s="81">
        <f>IMARGUMENT(U227)*(180/PI())</f>
        <v>142.82591865746261</v>
      </c>
      <c r="X227" s="81">
        <f>Calculations!$B$216/(Calculations!$B$216+Calculations!$B$218)</f>
        <v>0.6875</v>
      </c>
      <c r="Y227" s="81" t="str">
        <f t="shared" si="61"/>
        <v>-9.28909341690811+69.0165761363533i</v>
      </c>
      <c r="Z227" s="81">
        <f t="shared" si="62"/>
        <v>36.857036836131364</v>
      </c>
      <c r="AA227" s="88">
        <f>IMARGUMENT(Y227)*(180/PI())</f>
        <v>97.665500008551845</v>
      </c>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c r="CI227" s="44"/>
      <c r="CJ227" s="44"/>
      <c r="CK227" s="44"/>
      <c r="CL227" s="44"/>
      <c r="CM227" s="44"/>
      <c r="CN227" s="44"/>
      <c r="CO227" s="44"/>
      <c r="CP227" s="44"/>
    </row>
    <row r="228" spans="1:94" ht="15.75" thickBot="1">
      <c r="A228" t="s">
        <v>346</v>
      </c>
      <c r="B228" s="30">
        <f>Calculations!B240</f>
        <v>5261.3204327899293</v>
      </c>
      <c r="C228" s="99">
        <f t="shared" si="64"/>
        <v>33057.851239669428</v>
      </c>
      <c r="D228" s="80" t="str">
        <f>IMDIV(COMPLEX((POWER(V48_Nom,2)/(V12_Min*Calculations!$B$28*np)),((Zo_Boost_Cout*Zo_Boost_Resr*POWER(V48_Nom,2))/(V12_Min*Calculations!$B$28*np))*C228),COMPLEX(1,((Zo_Boost_Cout*Zo_Boost_Resr)+((Zo_Boost_Cout*POWER(V48_Nom,2))/(V12_Min*Calculations!$B$28*np)))*C228))</f>
        <v>0.0100967476568346-0.0503764891095574i</v>
      </c>
      <c r="E228" s="99">
        <f t="shared" si="65"/>
        <v>-25.784396744953298</v>
      </c>
      <c r="F228" s="99">
        <f>IMARGUMENT(D228)*(180/PI())</f>
        <v>-78.666611752094511</v>
      </c>
      <c r="G228" s="1" t="str">
        <f>IMDIV(IMSUM(COMPLEX(V48_Nom,0),IMPRODUCT(COMPLEX(np*(Calculations!$B$28*(V12_Min/V48_Nom)),0),D228)),IMSUM(IMPRODUCT(COMPLEX(((V12_Min/V48_Nom)^2),0),D228),COMPLEX(Rcs/np,(Lm*C228)/np)))</f>
        <v>0.0464878286516707-152.006615678215i</v>
      </c>
      <c r="H228" s="99">
        <f t="shared" si="50"/>
        <v>43.63725020325387</v>
      </c>
      <c r="I228" s="99">
        <f>IMARGUMENT(G228)*(180/PI())</f>
        <v>-89.982477365965011</v>
      </c>
      <c r="J228" s="82" t="str">
        <f>IMPRODUCT(COMPLEX(-1,0),IMDIV(IMSUM(IMSUB(IMPRODUCT(COMPLEX((1-(V12_Min/V48_Nom))*V48_Nom,0),D228),IMPRODUCT(COMPLEX(V48_Nom,0),D228)),IMPRODUCT(COMPLEX(0,Calculations!$B$28*Lm*C228),D228)),IMSUM(IMPRODUCT(COMPLEX(((V12_Min/V48_Nom)^2),0),D228),COMPLEX(Rcs/np,(Lm*C228)/np))))</f>
        <v>-1.51419384429032+0.324873250453486i</v>
      </c>
      <c r="K228" s="99">
        <f t="shared" si="52"/>
        <v>3.7990814806450759</v>
      </c>
      <c r="L228" s="99">
        <f>IMARGUMENT(J228)*(180/PI())</f>
        <v>167.89065892496438</v>
      </c>
      <c r="M228" s="1">
        <f t="shared" si="67"/>
        <v>0.58181818181818179</v>
      </c>
      <c r="N228" s="99">
        <f t="shared" si="68"/>
        <v>0.02</v>
      </c>
      <c r="O228" s="99" t="str">
        <f t="shared" si="69"/>
        <v>1.54833456124705-0.974160494784602i</v>
      </c>
      <c r="P228" s="99">
        <f t="shared" si="54"/>
        <v>5.2456858302297746</v>
      </c>
      <c r="Q228" s="99">
        <f>IMARGUMENT(O228)*(180/PI())</f>
        <v>-32.176734561192845</v>
      </c>
      <c r="R228" s="99" t="str">
        <f>IMDIV(IMPRODUCT(O228,J228,COMPLEX(M228,0)),IMSUM(COMPLEX(1,0),IMPRODUCT(G228,O228,COMPLEX(M228,0),COMPLEX(N228,0))))</f>
        <v>-0.286642481893838-0.506331808918412i</v>
      </c>
      <c r="S228" s="99">
        <f t="shared" si="57"/>
        <v>-4.7039538124705196</v>
      </c>
      <c r="T228" s="99">
        <f>IMARGUMENT(R228)*(180/PI())</f>
        <v>-119.51488970580309</v>
      </c>
      <c r="U228" s="89" t="str">
        <f>IMPRODUCT(COMPLEX(-1,0),IMDIV(COMPLEX(1,C228*Calculations!$B$248*Calculations!$B$250),IMPRODUCT(COMPLEX(0,C228*Calculations!$B$237),COMPLEX((Calculations!$B$250+Calculations!$B$252),C228*Calculations!$B$248*Calculations!$B$250*Calculations!$B$252))))</f>
        <v>-0.899860667758553+0.300199401510407i</v>
      </c>
      <c r="V228" s="89">
        <f t="shared" si="59"/>
        <v>-0.4582075641077582</v>
      </c>
      <c r="W228" s="89">
        <f>IMARGUMENT(U228)*(180/PI())</f>
        <v>161.550964236146</v>
      </c>
      <c r="X228" s="81">
        <f>Calculations!$B$216/(Calculations!$B$216+Calculations!$B$218)</f>
        <v>0.6875</v>
      </c>
      <c r="Y228" s="81" t="str">
        <f t="shared" si="61"/>
        <v>0.281832925802964+0.254084997491002i</v>
      </c>
      <c r="Z228" s="89">
        <f t="shared" si="62"/>
        <v>-8.4167073265322703</v>
      </c>
      <c r="AA228" s="90">
        <f>IMARGUMENT(Y228)*(180/PI())</f>
        <v>42.036074530342852</v>
      </c>
    </row>
  </sheetData>
  <mergeCells count="47">
    <mergeCell ref="Y167:AA167"/>
    <mergeCell ref="G77:I77"/>
    <mergeCell ref="M77:N77"/>
    <mergeCell ref="D76:T76"/>
    <mergeCell ref="O77:Q77"/>
    <mergeCell ref="R77:T77"/>
    <mergeCell ref="U77:W77"/>
    <mergeCell ref="R167:T167"/>
    <mergeCell ref="M166:N166"/>
    <mergeCell ref="O166:Q166"/>
    <mergeCell ref="R166:T166"/>
    <mergeCell ref="U167:W167"/>
    <mergeCell ref="D5:F6"/>
    <mergeCell ref="G5:I6"/>
    <mergeCell ref="J5:L6"/>
    <mergeCell ref="B5:C6"/>
    <mergeCell ref="CB166:CD166"/>
    <mergeCell ref="AC166:AE166"/>
    <mergeCell ref="B166:C167"/>
    <mergeCell ref="D167:F167"/>
    <mergeCell ref="J167:L167"/>
    <mergeCell ref="D166:F166"/>
    <mergeCell ref="G166:I166"/>
    <mergeCell ref="G167:I167"/>
    <mergeCell ref="J166:L166"/>
    <mergeCell ref="M167:N167"/>
    <mergeCell ref="O167:Q167"/>
    <mergeCell ref="AC167:AE167"/>
    <mergeCell ref="BS167:BU167"/>
    <mergeCell ref="BV167:BX167"/>
    <mergeCell ref="BY167:CA167"/>
    <mergeCell ref="CE166:CP166"/>
    <mergeCell ref="CB167:CD167"/>
    <mergeCell ref="CE167:CG167"/>
    <mergeCell ref="CH167:CJ167"/>
    <mergeCell ref="CK167:CM167"/>
    <mergeCell ref="CN167:CP167"/>
    <mergeCell ref="BD167:BF167"/>
    <mergeCell ref="BG167:BI167"/>
    <mergeCell ref="BJ167:BL167"/>
    <mergeCell ref="BM167:BO167"/>
    <mergeCell ref="BP167:BR167"/>
    <mergeCell ref="B76:C77"/>
    <mergeCell ref="D77:F77"/>
    <mergeCell ref="J77:L77"/>
    <mergeCell ref="BD166:BO166"/>
    <mergeCell ref="BP166:CA166"/>
  </mergeCells>
  <phoneticPr fontId="24"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E48"/>
  <sheetViews>
    <sheetView workbookViewId="0">
      <pane ySplit="1" topLeftCell="A5" activePane="bottomLeft" state="frozen"/>
      <selection pane="bottomLeft" activeCell="A21" sqref="A21"/>
    </sheetView>
  </sheetViews>
  <sheetFormatPr baseColWidth="10" defaultColWidth="9.140625" defaultRowHeight="15"/>
  <cols>
    <col min="1" max="1" width="34.7109375" style="13" customWidth="1"/>
    <col min="2" max="2" width="9.140625" style="6"/>
    <col min="3" max="3" width="12" style="1" bestFit="1" customWidth="1"/>
    <col min="4" max="4" width="9.140625" style="7"/>
    <col min="5" max="5" width="9.140625" style="14"/>
  </cols>
  <sheetData>
    <row r="1" spans="1:5">
      <c r="A1" s="11" t="s">
        <v>17</v>
      </c>
      <c r="B1" s="8" t="s">
        <v>18</v>
      </c>
      <c r="C1" s="9" t="s">
        <v>19</v>
      </c>
      <c r="D1" s="10" t="s">
        <v>20</v>
      </c>
      <c r="E1" s="12" t="s">
        <v>21</v>
      </c>
    </row>
    <row r="2" spans="1:5">
      <c r="A2" s="323" t="s">
        <v>87</v>
      </c>
      <c r="B2" s="298"/>
      <c r="C2" s="298"/>
      <c r="D2" s="298"/>
      <c r="E2" s="324"/>
    </row>
    <row r="3" spans="1:5">
      <c r="A3" s="13" t="s">
        <v>22</v>
      </c>
      <c r="C3" s="1">
        <f>200*(10^-9)</f>
        <v>2.0000000000000002E-7</v>
      </c>
      <c r="E3" s="14" t="s">
        <v>23</v>
      </c>
    </row>
    <row r="4" spans="1:5">
      <c r="A4" s="13" t="s">
        <v>41</v>
      </c>
      <c r="C4" s="1">
        <f>1*10^-4</f>
        <v>1E-4</v>
      </c>
      <c r="E4" s="14" t="s">
        <v>447</v>
      </c>
    </row>
    <row r="5" spans="1:5">
      <c r="A5" s="13" t="s">
        <v>43</v>
      </c>
      <c r="C5" s="1">
        <v>40</v>
      </c>
      <c r="E5" s="14" t="s">
        <v>42</v>
      </c>
    </row>
    <row r="6" spans="1:5">
      <c r="A6" s="13" t="s">
        <v>157</v>
      </c>
      <c r="C6" s="1">
        <v>0.05</v>
      </c>
      <c r="E6" s="14" t="s">
        <v>1</v>
      </c>
    </row>
    <row r="7" spans="1:5">
      <c r="A7" s="13" t="s">
        <v>45</v>
      </c>
      <c r="C7" s="1">
        <f>1/Acs</f>
        <v>2.5000000000000001E-2</v>
      </c>
      <c r="E7" s="14" t="s">
        <v>42</v>
      </c>
    </row>
    <row r="8" spans="1:5">
      <c r="A8" s="13" t="s">
        <v>217</v>
      </c>
      <c r="C8" s="1">
        <v>3.125E-2</v>
      </c>
      <c r="E8" s="14" t="s">
        <v>42</v>
      </c>
    </row>
    <row r="9" spans="1:5">
      <c r="A9" s="13" t="s">
        <v>61</v>
      </c>
      <c r="E9" s="14" t="s">
        <v>53</v>
      </c>
    </row>
    <row r="10" spans="1:5">
      <c r="A10" s="13" t="s">
        <v>481</v>
      </c>
      <c r="C10" s="1">
        <v>3.5</v>
      </c>
      <c r="E10" s="14" t="s">
        <v>1</v>
      </c>
    </row>
    <row r="11" spans="1:5">
      <c r="A11" s="13" t="s">
        <v>66</v>
      </c>
      <c r="C11" s="1">
        <v>2.5</v>
      </c>
      <c r="E11" s="14" t="s">
        <v>1</v>
      </c>
    </row>
    <row r="12" spans="1:5">
      <c r="A12" s="13" t="s">
        <v>63</v>
      </c>
      <c r="C12" s="1">
        <v>1.25</v>
      </c>
      <c r="E12" s="14" t="s">
        <v>1</v>
      </c>
    </row>
    <row r="13" spans="1:5">
      <c r="A13" s="13" t="s">
        <v>154</v>
      </c>
      <c r="C13" s="1">
        <f>25*(10^-6)</f>
        <v>2.4999999999999998E-5</v>
      </c>
      <c r="E13" s="14" t="s">
        <v>4</v>
      </c>
    </row>
    <row r="14" spans="1:5">
      <c r="A14" s="13" t="s">
        <v>62</v>
      </c>
      <c r="C14" s="1">
        <v>8</v>
      </c>
      <c r="E14" s="14" t="s">
        <v>1</v>
      </c>
    </row>
    <row r="15" spans="1:5">
      <c r="A15" s="13" t="s">
        <v>46</v>
      </c>
      <c r="C15" s="1">
        <f>50*(10^-6)</f>
        <v>4.9999999999999996E-5</v>
      </c>
      <c r="E15" s="14" t="s">
        <v>4</v>
      </c>
    </row>
    <row r="16" spans="1:5">
      <c r="A16" s="13" t="s">
        <v>47</v>
      </c>
      <c r="C16" s="1">
        <v>500</v>
      </c>
      <c r="E16" s="14" t="s">
        <v>48</v>
      </c>
    </row>
    <row r="17" spans="1:5">
      <c r="A17" s="13" t="s">
        <v>50</v>
      </c>
      <c r="C17" s="1">
        <f>4.15*(10^9)</f>
        <v>4150000000.0000005</v>
      </c>
      <c r="E17" s="14" t="s">
        <v>49</v>
      </c>
    </row>
    <row r="18" spans="1:5">
      <c r="A18" s="13" t="s">
        <v>491</v>
      </c>
      <c r="C18" s="1">
        <v>1</v>
      </c>
      <c r="E18" s="14" t="s">
        <v>1</v>
      </c>
    </row>
    <row r="19" spans="1:5">
      <c r="A19" s="13" t="s">
        <v>51</v>
      </c>
      <c r="E19" s="14" t="s">
        <v>53</v>
      </c>
    </row>
    <row r="20" spans="1:5">
      <c r="A20" s="13" t="s">
        <v>52</v>
      </c>
      <c r="E20" s="14" t="s">
        <v>53</v>
      </c>
    </row>
    <row r="21" spans="1:5">
      <c r="A21" s="13" t="s">
        <v>54</v>
      </c>
      <c r="E21" s="14" t="s">
        <v>4</v>
      </c>
    </row>
    <row r="22" spans="1:5">
      <c r="A22" s="13" t="s">
        <v>60</v>
      </c>
      <c r="E22" s="14" t="s">
        <v>4</v>
      </c>
    </row>
    <row r="23" spans="1:5">
      <c r="A23" s="13" t="s">
        <v>59</v>
      </c>
      <c r="E23" s="14" t="s">
        <v>1</v>
      </c>
    </row>
    <row r="24" spans="1:5">
      <c r="A24" s="13" t="s">
        <v>55</v>
      </c>
      <c r="E24" s="14" t="s">
        <v>53</v>
      </c>
    </row>
    <row r="25" spans="1:5">
      <c r="A25" s="13" t="s">
        <v>56</v>
      </c>
      <c r="E25" s="14" t="s">
        <v>53</v>
      </c>
    </row>
    <row r="26" spans="1:5">
      <c r="A26" s="13" t="s">
        <v>57</v>
      </c>
      <c r="C26" s="1">
        <f>2.625*(10^-12)</f>
        <v>2.6249999999999998E-12</v>
      </c>
      <c r="E26" s="14" t="s">
        <v>58</v>
      </c>
    </row>
    <row r="27" spans="1:5">
      <c r="A27" s="13" t="s">
        <v>193</v>
      </c>
      <c r="C27" s="1">
        <f>0</f>
        <v>0</v>
      </c>
      <c r="E27" s="14" t="s">
        <v>23</v>
      </c>
    </row>
    <row r="28" spans="1:5">
      <c r="A28" s="13" t="s">
        <v>65</v>
      </c>
      <c r="C28" s="1">
        <v>1.5</v>
      </c>
      <c r="E28" s="14" t="s">
        <v>1</v>
      </c>
    </row>
    <row r="29" spans="1:5">
      <c r="A29" s="13" t="s">
        <v>198</v>
      </c>
      <c r="C29" s="1">
        <f>40*(10^-9)</f>
        <v>4.0000000000000001E-8</v>
      </c>
      <c r="E29" s="14" t="s">
        <v>23</v>
      </c>
    </row>
    <row r="30" spans="1:5">
      <c r="A30" s="13" t="s">
        <v>199</v>
      </c>
      <c r="C30" s="1">
        <f>40*(10^-9)</f>
        <v>4.0000000000000001E-8</v>
      </c>
      <c r="E30" s="14" t="s">
        <v>23</v>
      </c>
    </row>
    <row r="31" spans="1:5">
      <c r="A31" s="13" t="s">
        <v>211</v>
      </c>
      <c r="C31" s="1">
        <f>15*(10^-9)</f>
        <v>1.5000000000000002E-8</v>
      </c>
      <c r="E31" s="14" t="s">
        <v>23</v>
      </c>
    </row>
    <row r="32" spans="1:5">
      <c r="A32" s="13" t="s">
        <v>212</v>
      </c>
      <c r="C32" s="1">
        <f>200*(10^-9)</f>
        <v>2.0000000000000002E-7</v>
      </c>
      <c r="E32" s="14" t="s">
        <v>23</v>
      </c>
    </row>
    <row r="33" spans="1:5">
      <c r="A33" s="13" t="s">
        <v>64</v>
      </c>
      <c r="C33" s="1">
        <f>50*(10^-6)</f>
        <v>4.9999999999999996E-5</v>
      </c>
      <c r="E33" s="14" t="s">
        <v>4</v>
      </c>
    </row>
    <row r="34" spans="1:5">
      <c r="A34" s="13" t="s">
        <v>142</v>
      </c>
      <c r="C34" s="1">
        <v>5</v>
      </c>
      <c r="E34" s="14" t="s">
        <v>1</v>
      </c>
    </row>
    <row r="36" spans="1:5">
      <c r="A36" s="13" t="s">
        <v>88</v>
      </c>
      <c r="B36" s="6">
        <v>0</v>
      </c>
      <c r="D36" s="7">
        <v>75</v>
      </c>
      <c r="E36" s="14" t="s">
        <v>1</v>
      </c>
    </row>
    <row r="37" spans="1:5">
      <c r="A37" s="13" t="s">
        <v>89</v>
      </c>
      <c r="B37" s="6">
        <v>1</v>
      </c>
      <c r="D37" s="7">
        <v>75</v>
      </c>
      <c r="E37" s="14" t="s">
        <v>1</v>
      </c>
    </row>
    <row r="38" spans="1:5">
      <c r="A38" s="13" t="s">
        <v>90</v>
      </c>
      <c r="B38" s="6">
        <v>3</v>
      </c>
      <c r="D38" s="7">
        <v>80</v>
      </c>
      <c r="E38" s="14" t="s">
        <v>1</v>
      </c>
    </row>
    <row r="39" spans="1:5">
      <c r="A39" s="13" t="s">
        <v>91</v>
      </c>
      <c r="B39" s="6">
        <v>50000</v>
      </c>
      <c r="D39" s="7">
        <v>1000000</v>
      </c>
      <c r="E39" s="14" t="s">
        <v>83</v>
      </c>
    </row>
    <row r="40" spans="1:5">
      <c r="A40" s="13" t="s">
        <v>92</v>
      </c>
      <c r="B40" s="6">
        <v>15</v>
      </c>
      <c r="D40" s="7">
        <v>200</v>
      </c>
      <c r="E40" s="14" t="s">
        <v>93</v>
      </c>
    </row>
    <row r="43" spans="1:5">
      <c r="A43" s="13" t="s">
        <v>96</v>
      </c>
      <c r="E43" s="14" t="s">
        <v>1</v>
      </c>
    </row>
    <row r="44" spans="1:5">
      <c r="A44" s="13" t="s">
        <v>97</v>
      </c>
      <c r="E44" s="14" t="s">
        <v>1</v>
      </c>
    </row>
    <row r="46" spans="1:5">
      <c r="A46" s="13" t="s">
        <v>105</v>
      </c>
      <c r="C46" s="1">
        <v>4</v>
      </c>
      <c r="E46" s="14" t="s">
        <v>1</v>
      </c>
    </row>
    <row r="48" spans="1:5">
      <c r="A48" s="13" t="s">
        <v>159</v>
      </c>
      <c r="C48" s="1">
        <v>3</v>
      </c>
      <c r="E48" s="14" t="s">
        <v>1</v>
      </c>
    </row>
  </sheetData>
  <autoFilter ref="A1:E33"/>
  <mergeCells count="1">
    <mergeCell ref="A2:E2"/>
  </mergeCells>
  <phoneticPr fontId="24"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R17"/>
  <sheetViews>
    <sheetView workbookViewId="0">
      <selection activeCell="R4" sqref="R4"/>
    </sheetView>
  </sheetViews>
  <sheetFormatPr baseColWidth="10" defaultColWidth="9.140625" defaultRowHeight="15"/>
  <cols>
    <col min="13" max="13" width="10.5703125" customWidth="1"/>
    <col min="14" max="14" width="9.42578125" customWidth="1"/>
    <col min="15" max="15" width="13.7109375" customWidth="1"/>
    <col min="16" max="16" width="10.85546875" customWidth="1"/>
    <col min="18" max="18" width="10.85546875" customWidth="1"/>
  </cols>
  <sheetData>
    <row r="1" spans="1:18">
      <c r="A1" t="s">
        <v>145</v>
      </c>
      <c r="C1" t="s">
        <v>185</v>
      </c>
      <c r="E1" t="s">
        <v>160</v>
      </c>
      <c r="G1" t="s">
        <v>92</v>
      </c>
      <c r="K1" t="s">
        <v>477</v>
      </c>
      <c r="M1" t="s">
        <v>511</v>
      </c>
      <c r="N1" t="s">
        <v>512</v>
      </c>
      <c r="O1" t="s">
        <v>494</v>
      </c>
      <c r="Q1" t="s">
        <v>521</v>
      </c>
    </row>
    <row r="2" spans="1:18">
      <c r="A2" s="43" t="s">
        <v>146</v>
      </c>
      <c r="C2" t="s">
        <v>483</v>
      </c>
      <c r="E2">
        <v>1.8</v>
      </c>
      <c r="G2" t="s">
        <v>188</v>
      </c>
      <c r="I2" s="36"/>
      <c r="K2" t="s">
        <v>476</v>
      </c>
      <c r="M2" t="s">
        <v>513</v>
      </c>
      <c r="N2" t="s">
        <v>580</v>
      </c>
      <c r="O2" t="s">
        <v>510</v>
      </c>
      <c r="Q2" t="s">
        <v>522</v>
      </c>
      <c r="R2" t="s">
        <v>588</v>
      </c>
    </row>
    <row r="3" spans="1:18">
      <c r="A3" t="s">
        <v>147</v>
      </c>
      <c r="C3" t="s">
        <v>256</v>
      </c>
      <c r="E3">
        <v>3</v>
      </c>
      <c r="G3" t="s">
        <v>189</v>
      </c>
      <c r="K3" t="s">
        <v>475</v>
      </c>
      <c r="M3" t="s">
        <v>514</v>
      </c>
      <c r="N3" t="s">
        <v>580</v>
      </c>
      <c r="O3" t="s">
        <v>509</v>
      </c>
      <c r="Q3" t="s">
        <v>523</v>
      </c>
      <c r="R3" t="s">
        <v>587</v>
      </c>
    </row>
    <row r="4" spans="1:18">
      <c r="M4" t="s">
        <v>515</v>
      </c>
      <c r="N4" t="s">
        <v>580</v>
      </c>
      <c r="O4" t="s">
        <v>495</v>
      </c>
    </row>
    <row r="5" spans="1:18">
      <c r="M5" t="s">
        <v>516</v>
      </c>
      <c r="N5" t="s">
        <v>580</v>
      </c>
      <c r="O5" t="s">
        <v>496</v>
      </c>
    </row>
    <row r="6" spans="1:18">
      <c r="M6" t="s">
        <v>517</v>
      </c>
      <c r="N6" t="s">
        <v>580</v>
      </c>
      <c r="O6" t="s">
        <v>497</v>
      </c>
    </row>
    <row r="7" spans="1:18">
      <c r="M7" t="s">
        <v>518</v>
      </c>
      <c r="N7" t="s">
        <v>580</v>
      </c>
      <c r="O7" t="s">
        <v>498</v>
      </c>
    </row>
    <row r="8" spans="1:18">
      <c r="M8" t="s">
        <v>519</v>
      </c>
      <c r="N8" t="s">
        <v>580</v>
      </c>
      <c r="O8" t="s">
        <v>499</v>
      </c>
    </row>
    <row r="9" spans="1:18">
      <c r="M9" t="s">
        <v>520</v>
      </c>
      <c r="N9" t="s">
        <v>580</v>
      </c>
      <c r="O9" t="s">
        <v>500</v>
      </c>
    </row>
    <row r="10" spans="1:18">
      <c r="M10" t="s">
        <v>520</v>
      </c>
      <c r="N10" t="s">
        <v>581</v>
      </c>
      <c r="O10" t="s">
        <v>501</v>
      </c>
    </row>
    <row r="11" spans="1:18">
      <c r="M11" t="s">
        <v>519</v>
      </c>
      <c r="N11" t="s">
        <v>581</v>
      </c>
      <c r="O11" t="s">
        <v>502</v>
      </c>
    </row>
    <row r="12" spans="1:18">
      <c r="M12" t="s">
        <v>518</v>
      </c>
      <c r="N12" t="s">
        <v>581</v>
      </c>
      <c r="O12" t="s">
        <v>508</v>
      </c>
    </row>
    <row r="13" spans="1:18">
      <c r="M13" t="s">
        <v>517</v>
      </c>
      <c r="N13" t="s">
        <v>581</v>
      </c>
      <c r="O13" t="s">
        <v>503</v>
      </c>
    </row>
    <row r="14" spans="1:18">
      <c r="M14" t="s">
        <v>516</v>
      </c>
      <c r="N14" t="s">
        <v>581</v>
      </c>
      <c r="O14" t="s">
        <v>504</v>
      </c>
    </row>
    <row r="15" spans="1:18">
      <c r="M15" t="s">
        <v>515</v>
      </c>
      <c r="N15" t="s">
        <v>581</v>
      </c>
      <c r="O15" t="s">
        <v>505</v>
      </c>
    </row>
    <row r="16" spans="1:18">
      <c r="M16" t="s">
        <v>514</v>
      </c>
      <c r="N16" t="s">
        <v>581</v>
      </c>
      <c r="O16" t="s">
        <v>506</v>
      </c>
    </row>
    <row r="17" spans="13:15">
      <c r="M17" t="s">
        <v>513</v>
      </c>
      <c r="N17" t="s">
        <v>581</v>
      </c>
      <c r="O17" t="s">
        <v>507</v>
      </c>
    </row>
  </sheetData>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AM47"/>
  <sheetViews>
    <sheetView workbookViewId="0">
      <selection activeCell="L10" sqref="L10"/>
    </sheetView>
  </sheetViews>
  <sheetFormatPr baseColWidth="10" defaultColWidth="9.140625" defaultRowHeight="14.25"/>
  <cols>
    <col min="1" max="1" width="25.7109375" style="192" bestFit="1" customWidth="1"/>
    <col min="2" max="2" width="56.5703125" style="199" customWidth="1"/>
    <col min="3" max="11" width="9.140625" style="186"/>
    <col min="12" max="12" width="20.42578125" style="186" customWidth="1"/>
    <col min="13" max="16384" width="9.140625" style="186"/>
  </cols>
  <sheetData>
    <row r="1" spans="1:12">
      <c r="A1" s="326"/>
      <c r="B1" s="326"/>
      <c r="C1" s="326"/>
      <c r="D1" s="326"/>
      <c r="E1" s="326"/>
      <c r="F1" s="326"/>
      <c r="G1" s="326"/>
      <c r="H1" s="326"/>
      <c r="I1" s="326"/>
      <c r="J1" s="326"/>
      <c r="K1" s="326"/>
      <c r="L1" s="326"/>
    </row>
    <row r="2" spans="1:12">
      <c r="A2" s="326"/>
      <c r="B2" s="326"/>
      <c r="C2" s="326"/>
      <c r="D2" s="326"/>
      <c r="E2" s="326"/>
      <c r="F2" s="326"/>
      <c r="G2" s="326"/>
      <c r="H2" s="326"/>
      <c r="I2" s="326"/>
      <c r="J2" s="326"/>
      <c r="K2" s="326"/>
      <c r="L2" s="326"/>
    </row>
    <row r="3" spans="1:12">
      <c r="A3" s="326"/>
      <c r="B3" s="326"/>
      <c r="C3" s="326"/>
      <c r="D3" s="326"/>
      <c r="E3" s="326"/>
      <c r="F3" s="326"/>
      <c r="G3" s="326"/>
      <c r="H3" s="326"/>
      <c r="I3" s="326"/>
      <c r="J3" s="326"/>
      <c r="K3" s="326"/>
      <c r="L3" s="326"/>
    </row>
    <row r="4" spans="1:12">
      <c r="A4" s="327"/>
      <c r="B4" s="327"/>
      <c r="C4" s="327"/>
      <c r="D4" s="327"/>
      <c r="E4" s="327"/>
      <c r="F4" s="327"/>
      <c r="G4" s="327"/>
      <c r="H4" s="327"/>
      <c r="I4" s="327"/>
      <c r="J4" s="327"/>
      <c r="K4" s="327"/>
      <c r="L4" s="327"/>
    </row>
    <row r="5" spans="1:12">
      <c r="A5" s="187" t="s">
        <v>426</v>
      </c>
      <c r="B5" s="188" t="str">
        <f>LOOKUP(2,1/((A37:A46)&lt;&gt;""),(A37:A46))</f>
        <v>1.0.1</v>
      </c>
      <c r="C5" s="189"/>
      <c r="D5" s="189"/>
      <c r="E5" s="189"/>
      <c r="F5" s="189"/>
      <c r="G5" s="189"/>
      <c r="H5" s="189"/>
      <c r="I5" s="189"/>
      <c r="J5" s="189"/>
      <c r="K5" s="190"/>
      <c r="L5" s="191"/>
    </row>
    <row r="6" spans="1:12">
      <c r="A6" s="187"/>
      <c r="B6" s="188"/>
      <c r="C6" s="189"/>
      <c r="D6" s="189"/>
      <c r="E6" s="189"/>
      <c r="F6" s="189"/>
      <c r="G6" s="189"/>
      <c r="H6" s="189"/>
      <c r="I6" s="189"/>
      <c r="J6" s="191"/>
      <c r="K6" s="191"/>
      <c r="L6" s="191"/>
    </row>
    <row r="33" spans="1:39">
      <c r="B33" s="193"/>
    </row>
    <row r="34" spans="1:39">
      <c r="B34" s="193"/>
    </row>
    <row r="35" spans="1:39">
      <c r="A35" s="194" t="s">
        <v>428</v>
      </c>
      <c r="B35" s="195"/>
      <c r="C35" s="189"/>
      <c r="D35" s="189"/>
      <c r="E35" s="189"/>
      <c r="F35" s="189"/>
      <c r="G35" s="189"/>
      <c r="H35" s="189"/>
      <c r="I35" s="189"/>
      <c r="J35" s="189"/>
      <c r="K35" s="189"/>
    </row>
    <row r="36" spans="1:39">
      <c r="A36" s="196" t="s">
        <v>429</v>
      </c>
      <c r="B36" s="328" t="s">
        <v>430</v>
      </c>
      <c r="C36" s="328"/>
      <c r="D36" s="328"/>
      <c r="E36" s="328"/>
      <c r="F36" s="328"/>
      <c r="G36" s="328"/>
      <c r="H36" s="328"/>
      <c r="I36" s="328"/>
      <c r="J36" s="328"/>
      <c r="K36" s="328"/>
    </row>
    <row r="37" spans="1:39">
      <c r="A37" s="194" t="s">
        <v>427</v>
      </c>
      <c r="B37" s="329" t="s">
        <v>431</v>
      </c>
      <c r="C37" s="329"/>
      <c r="D37" s="329"/>
      <c r="E37" s="329"/>
      <c r="F37" s="329"/>
      <c r="G37" s="329"/>
      <c r="H37" s="329"/>
      <c r="I37" s="329"/>
      <c r="J37" s="329"/>
      <c r="K37" s="329"/>
    </row>
    <row r="38" spans="1:39" ht="14.25" customHeight="1">
      <c r="A38" s="194" t="s">
        <v>594</v>
      </c>
      <c r="B38" s="325" t="s">
        <v>595</v>
      </c>
      <c r="C38" s="325"/>
      <c r="D38" s="325"/>
      <c r="E38" s="325"/>
      <c r="F38" s="325"/>
      <c r="G38" s="325"/>
      <c r="H38" s="325"/>
      <c r="I38" s="325"/>
      <c r="J38" s="325"/>
      <c r="K38" s="325"/>
    </row>
    <row r="39" spans="1:39" ht="14.25" customHeight="1">
      <c r="A39" s="194"/>
      <c r="B39" s="325"/>
      <c r="C39" s="325"/>
      <c r="D39" s="325"/>
      <c r="E39" s="325"/>
      <c r="F39" s="325"/>
      <c r="G39" s="325"/>
      <c r="H39" s="325"/>
      <c r="I39" s="325"/>
      <c r="J39" s="325"/>
      <c r="K39" s="325"/>
    </row>
    <row r="40" spans="1:39" ht="14.25" customHeight="1">
      <c r="A40" s="194"/>
      <c r="B40" s="325"/>
      <c r="C40" s="325"/>
      <c r="D40" s="325"/>
      <c r="E40" s="325"/>
      <c r="F40" s="325"/>
      <c r="G40" s="325"/>
      <c r="H40" s="325"/>
      <c r="I40" s="325"/>
      <c r="J40" s="325"/>
      <c r="K40" s="325"/>
    </row>
    <row r="41" spans="1:39" ht="14.25" customHeight="1">
      <c r="A41" s="194"/>
      <c r="B41" s="325"/>
      <c r="C41" s="325"/>
      <c r="D41" s="325"/>
      <c r="E41" s="325"/>
      <c r="F41" s="325"/>
      <c r="G41" s="325"/>
      <c r="H41" s="325"/>
      <c r="I41" s="325"/>
      <c r="J41" s="325"/>
      <c r="K41" s="325"/>
    </row>
    <row r="42" spans="1:39">
      <c r="A42" s="194"/>
      <c r="B42" s="325"/>
      <c r="C42" s="325"/>
      <c r="D42" s="325"/>
      <c r="E42" s="325"/>
      <c r="F42" s="325"/>
      <c r="G42" s="325"/>
      <c r="H42" s="325"/>
      <c r="I42" s="325"/>
      <c r="J42" s="325"/>
      <c r="K42" s="325"/>
    </row>
    <row r="43" spans="1:39">
      <c r="A43" s="194"/>
      <c r="B43" s="325"/>
      <c r="C43" s="325"/>
      <c r="D43" s="325"/>
      <c r="E43" s="325"/>
      <c r="F43" s="325"/>
      <c r="G43" s="325"/>
      <c r="H43" s="325"/>
      <c r="I43" s="325"/>
      <c r="J43" s="325"/>
      <c r="K43" s="325"/>
    </row>
    <row r="44" spans="1:39" s="198" customFormat="1" ht="15">
      <c r="A44" s="194"/>
      <c r="B44" s="325"/>
      <c r="C44" s="325"/>
      <c r="D44" s="325"/>
      <c r="E44" s="325"/>
      <c r="F44" s="325"/>
      <c r="G44" s="325"/>
      <c r="H44" s="325"/>
      <c r="I44" s="325"/>
      <c r="J44" s="325"/>
      <c r="K44" s="325"/>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row>
    <row r="45" spans="1:39">
      <c r="A45" s="194"/>
      <c r="B45" s="325"/>
      <c r="C45" s="325"/>
      <c r="D45" s="325"/>
      <c r="E45" s="325"/>
      <c r="F45" s="325"/>
      <c r="G45" s="325"/>
      <c r="H45" s="325"/>
      <c r="I45" s="325"/>
      <c r="J45" s="325"/>
      <c r="K45" s="325"/>
    </row>
    <row r="46" spans="1:39">
      <c r="A46" s="194"/>
      <c r="B46" s="325"/>
      <c r="C46" s="325"/>
      <c r="D46" s="325"/>
      <c r="E46" s="325"/>
      <c r="F46" s="325"/>
      <c r="G46" s="325"/>
      <c r="H46" s="325"/>
      <c r="I46" s="325"/>
      <c r="J46" s="325"/>
      <c r="K46" s="325"/>
    </row>
    <row r="47" spans="1:39">
      <c r="A47" s="194"/>
      <c r="B47" s="325"/>
      <c r="C47" s="325"/>
      <c r="D47" s="325"/>
      <c r="E47" s="325"/>
      <c r="F47" s="325"/>
      <c r="G47" s="325"/>
      <c r="H47" s="325"/>
      <c r="I47" s="325"/>
      <c r="J47" s="325"/>
      <c r="K47" s="325"/>
    </row>
  </sheetData>
  <sheetProtection algorithmName="SHA-512" hashValue="ziD5XBGWlaxQCoMDyysN0WtS5E92Old4Mz6SX06liK1fOAQqRjEsLdC4pmk3AJhxLy9RZ34p2JJ9VyBRtf2lhA==" saltValue="GtiYz7b/M769KCxW5+0Xpw==" spinCount="100000" sheet="1" objects="1" scenarios="1" selectLockedCells="1" selectUnlockedCells="1"/>
  <mergeCells count="14">
    <mergeCell ref="B39:K39"/>
    <mergeCell ref="A1:L3"/>
    <mergeCell ref="A4:L4"/>
    <mergeCell ref="B36:K36"/>
    <mergeCell ref="B37:K37"/>
    <mergeCell ref="B38:K38"/>
    <mergeCell ref="B46:K46"/>
    <mergeCell ref="B47:K47"/>
    <mergeCell ref="B40:K40"/>
    <mergeCell ref="B41:K41"/>
    <mergeCell ref="B42:K42"/>
    <mergeCell ref="B43:K43"/>
    <mergeCell ref="B44:K44"/>
    <mergeCell ref="B45:K4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17</vt:i4>
      </vt:variant>
    </vt:vector>
  </HeadingPairs>
  <TitlesOfParts>
    <vt:vector size="23" baseType="lpstr">
      <vt:lpstr>Design_Converter</vt:lpstr>
      <vt:lpstr>Calculations</vt:lpstr>
      <vt:lpstr>Compensation</vt:lpstr>
      <vt:lpstr>Constants</vt:lpstr>
      <vt:lpstr>Lists</vt:lpstr>
      <vt:lpstr>Licenses</vt:lpstr>
      <vt:lpstr>Acs</vt:lpstr>
      <vt:lpstr>fco</vt:lpstr>
      <vt:lpstr>Fsw</vt:lpstr>
      <vt:lpstr>gm</vt:lpstr>
      <vt:lpstr>I_Channel</vt:lpstr>
      <vt:lpstr>I_Channel_Design</vt:lpstr>
      <vt:lpstr>I_Channel_Peak_No_Ilimit</vt:lpstr>
      <vt:lpstr>I_Channel_Peak_Select</vt:lpstr>
      <vt:lpstr>ISETA_Max</vt:lpstr>
      <vt:lpstr>Kff</vt:lpstr>
      <vt:lpstr>np</vt:lpstr>
      <vt:lpstr>V12_Max</vt:lpstr>
      <vt:lpstr>V12_Min</vt:lpstr>
      <vt:lpstr>V12_Nom</vt:lpstr>
      <vt:lpstr>V48_Max</vt:lpstr>
      <vt:lpstr>V48_Min</vt:lpstr>
      <vt:lpstr>V48_Nom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Bruno SIMONNET</cp:lastModifiedBy>
  <cp:lastPrinted>2016-05-24T23:01:03Z</cp:lastPrinted>
  <dcterms:created xsi:type="dcterms:W3CDTF">2016-01-18T23:31:01Z</dcterms:created>
  <dcterms:modified xsi:type="dcterms:W3CDTF">2025-05-21T09:23:53Z</dcterms:modified>
</cp:coreProperties>
</file>