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codeName="ThisWorkbook" defaultThemeVersion="124226"/>
  <mc:AlternateContent xmlns:mc="http://schemas.openxmlformats.org/markup-compatibility/2006">
    <mc:Choice Requires="x15">
      <x15ac:absPath xmlns:x15ac="http://schemas.microsoft.com/office/spreadsheetml/2010/11/ac" url="C:\Users\a0132557\Desktop\"/>
    </mc:Choice>
  </mc:AlternateContent>
  <xr:revisionPtr revIDLastSave="0" documentId="13_ncr:1_{5A518EB2-F9E7-4D11-8BD7-5882F3F3FE5B}" xr6:coauthVersionLast="36" xr6:coauthVersionMax="36" xr10:uidLastSave="{00000000-0000-0000-0000-000000000000}"/>
  <workbookProtection workbookAlgorithmName="SHA-512" workbookHashValue="2VHHsx8IPoW/3V/8XUD75SYHkiAwhcPRa/NN642iPzuOCDjbbNBvOJ+FPANJs3GKEgAlL0AKE/EaSucmosPfMQ==" workbookSaltValue="jbD2thPa4m7c/8yMyd06pQ==" workbookSpinCount="100000" lockStructure="1"/>
  <bookViews>
    <workbookView xWindow="0" yWindow="0" windowWidth="28800" windowHeight="11328" tabRatio="773" activeTab="1" xr2:uid="{00000000-000D-0000-FFFF-FFFF00000000}"/>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 name="Cap Tables" sheetId="17" state="hidden" r:id="rId8"/>
    <sheet name="Res EIA Tables" sheetId="16" state="hidden" r:id="rId9"/>
  </sheets>
  <externalReferences>
    <externalReference r:id="rId10"/>
    <externalReference r:id="rId11"/>
    <externalReference r:id="rId12"/>
  </externalReferences>
  <definedNames>
    <definedName name="CLMAX">'Design Calculator'!$F$34</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'[1]Calculation Sheet'!$D$9</definedName>
    <definedName name="COUTMAX">'Design Calculator'!$F$18</definedName>
    <definedName name="CTIMER">'Design Calculator'!#REF!</definedName>
    <definedName name="CTMR">'[1]Calculation Sheet'!$D$43</definedName>
    <definedName name="FETPDISS">'Design Calculator'!$F$57</definedName>
    <definedName name="I_Cout_ss">Equations!$F$74</definedName>
    <definedName name="IBST">'[1]Calculation Sheet'!$D$110</definedName>
    <definedName name="Iinrush">'[1]Calculation Sheet'!$D$11</definedName>
    <definedName name="ILIM" localSheetId="5">[2]ILIM_SOA_considerations!$C$25</definedName>
    <definedName name="ILIM">[3]ILIM_SOA_considerations!$C$25</definedName>
    <definedName name="Ilim_min" localSheetId="5">[2]ILIM_SOA_considerations!$C$61</definedName>
    <definedName name="Ilim_min">[3]ILIM_SOA_considerations!$C$61</definedName>
    <definedName name="Imax">'[1]Calculation Sheet'!$D$12</definedName>
    <definedName name="Inrush_Current">'Design Calculator'!$F$22</definedName>
    <definedName name="IOUTMAX">'Design Calculator'!$F$23</definedName>
    <definedName name="ISCP">'[1]Calculation Sheet'!$D$14</definedName>
    <definedName name="IWRN">'[1]Calculation Sheet'!$D$13</definedName>
    <definedName name="IWRN_final">'[1]Calculation Sheet'!$D$26</definedName>
    <definedName name="MaxFETPW">'Design Calculator'!#REF!</definedName>
    <definedName name="NUMFETS">'Design Calculator'!$F$49</definedName>
    <definedName name="Ovref_fall">'[1]Calculation Sheet'!$D$107</definedName>
    <definedName name="Ovref_rise">'[1]Calculation Sheet'!$D$106</definedName>
    <definedName name="OVset">'[1]Calculation Sheet'!$D$8</definedName>
    <definedName name="PLIM" localSheetId="5">[2]ILIM_SOA_considerations!$C$40</definedName>
    <definedName name="PLIM">[3]ILIM_SOA_considerations!$C$40</definedName>
    <definedName name="PLIMMAX">'Design Calculator'!#REF!</definedName>
    <definedName name="PLIMMIN">'Design Calculator'!#REF!</definedName>
    <definedName name="PLIMNOM">'Design Calculator'!#REF!</definedName>
    <definedName name="_xlnm.Print_Area" localSheetId="1">'Design Calculator'!$A$1:$M$179</definedName>
    <definedName name="R_1">'[1]Calculation Sheet'!$D$61</definedName>
    <definedName name="RDIV1">'Design Calculator'!#REF!</definedName>
    <definedName name="RDIV2">'Design Calculator'!#REF!</definedName>
    <definedName name="RDSON">'Design Calculator'!$AN$50</definedName>
    <definedName name="RIMON" localSheetId="7">'[1]Calculation Sheet'!$D$37</definedName>
    <definedName name="RIMON" localSheetId="8">'[1]Calculation Sheet'!$D$37</definedName>
    <definedName name="RIMON">'Design Calculator'!$F10</definedName>
    <definedName name="RISCP">'[1]Calculation Sheet'!$D$32</definedName>
    <definedName name="RIWRN">'[1]Calculation Sheet'!$D$25</definedName>
    <definedName name="RLIM">'Design Calculator'!$F$31</definedName>
    <definedName name="RPWR">'Design Calculator'!$F$63</definedName>
    <definedName name="Rrflt" localSheetId="5">[2]ILIM_SOA_considerations!$C$46</definedName>
    <definedName name="Rrflt">[3]ILIM_SOA_considerations!$C$46</definedName>
    <definedName name="Rs">'Design Calculator'!$F$28</definedName>
    <definedName name="RsEFF">Equations!$F$23</definedName>
    <definedName name="Rsense" localSheetId="5">[2]ILIM_SOA_considerations!$C$30</definedName>
    <definedName name="Rsense">[3]ILIM_SOA_considerations!$C$30</definedName>
    <definedName name="RSET">'[1]Calculation Sheet'!$D$22</definedName>
    <definedName name="RsMAX">'Design Calculator'!#REF!</definedName>
    <definedName name="RSNS">'Design Calculator'!XDR1048567</definedName>
    <definedName name="SOA_av" localSheetId="5">[2]ILIM_SOA_considerations!$C$52</definedName>
    <definedName name="SOA_av">[3]ILIM_SOA_considerations!$C$52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Equations!$F$70</definedName>
    <definedName name="T_cap_charge" localSheetId="5">[2]ILIM_SOA_considerations!$C$45</definedName>
    <definedName name="T_cap_charge">[3]ILIM_SOA_considerations!$C$45</definedName>
    <definedName name="T_margin" localSheetId="5">[2]ILIM_SOA_considerations!$C$9</definedName>
    <definedName name="T_margin">[3]ILIM_SOA_considerations!$C$9</definedName>
    <definedName name="T_total" localSheetId="5">[2]ILIM_SOA_considerations!$C$47</definedName>
    <definedName name="T_total">[3]ILIM_SOA_considerations!$C$47</definedName>
    <definedName name="TAMB">'Design Calculator'!$F$19</definedName>
    <definedName name="Tfault">'Design Calculator'!#REF!</definedName>
    <definedName name="Tfaultmax">'Design Calculator'!#REF!</definedName>
    <definedName name="ThetaJA">'Design Calculator'!$F$48</definedName>
    <definedName name="TINSERT">'Design Calculator'!#REF!</definedName>
    <definedName name="TINSERTMAX">Equations!$F$117</definedName>
    <definedName name="TINSERTMIN">Equations!$F$115</definedName>
    <definedName name="TJ">'Design Calculator'!$F$58</definedName>
    <definedName name="TJMAX">'Design Calculator'!$AN$51</definedName>
    <definedName name="TOC">'[1]Calculation Sheet'!$D$16</definedName>
    <definedName name="Tsd" localSheetId="5">[2]ILIM_SOA_considerations!$C$67</definedName>
    <definedName name="Tsd">[3]ILIM_SOA_considerations!$C$67</definedName>
    <definedName name="TSTARTMAX">Equations!$F$104</definedName>
    <definedName name="TSTARTMIN">Equations!$F$102</definedName>
    <definedName name="TSTARTNOM">Equations!$F$103</definedName>
    <definedName name="Uvref_fall">'[1]Calculation Sheet'!$D$105</definedName>
    <definedName name="Uvref_rise">'[1]Calculation Sheet'!$D$104</definedName>
    <definedName name="UVset">'[1]Calculation Sheet'!$D$7</definedName>
    <definedName name="V_BST_SRC">'[1]Calculation Sheet'!$D$109</definedName>
    <definedName name="V_sns_cl_max" localSheetId="5">[2]ILIM_SOA_considerations!$C$15</definedName>
    <definedName name="V_sns_cl_max">[3]ILIM_SOA_considerations!$C$15</definedName>
    <definedName name="VBST_UVLO">'[1]Calculation Sheet'!$D$108</definedName>
    <definedName name="Vbus" localSheetId="5">[2]ILIM_SOA_considerations!$C$23</definedName>
    <definedName name="Vbus">[3]ILIM_SOA_considerations!$C$23</definedName>
    <definedName name="Vimon_max">'[1]Calculation Sheet'!$D$18</definedName>
    <definedName name="VIN_nom">'[1]Calculation Sheet'!$D$6</definedName>
    <definedName name="VINMAX">'Design Calculator'!$F$16</definedName>
    <definedName name="VINMIN">'Design Calculator'!$F$14</definedName>
    <definedName name="VINNOM">'Design Calculator'!$F$15</definedName>
    <definedName name="yesno">'Design Calculator'!#REF!</definedName>
  </definedNames>
  <calcPr calcId="191029"/>
</workbook>
</file>

<file path=xl/calcChain.xml><?xml version="1.0" encoding="utf-8"?>
<calcChain xmlns="http://schemas.openxmlformats.org/spreadsheetml/2006/main">
  <c r="L29" i="3" l="1"/>
  <c r="F29" i="3"/>
  <c r="F118" i="1" l="1"/>
  <c r="F70" i="1"/>
  <c r="F28" i="3"/>
  <c r="F30" i="1" l="1"/>
  <c r="F96" i="1"/>
  <c r="G143" i="3"/>
  <c r="F143" i="3"/>
  <c r="G142" i="3"/>
  <c r="I143" i="3"/>
  <c r="I142" i="3"/>
  <c r="F95" i="1" s="1"/>
  <c r="I23" i="3"/>
  <c r="F33" i="1" s="1"/>
  <c r="F32" i="1" s="1"/>
  <c r="F115" i="1" l="1"/>
  <c r="F106" i="1"/>
  <c r="J2" i="13"/>
  <c r="L30" i="3"/>
  <c r="F31" i="3" s="1"/>
  <c r="F23" i="3"/>
  <c r="I29" i="3"/>
  <c r="I32" i="3"/>
  <c r="F41" i="1" s="1"/>
  <c r="F32" i="3"/>
  <c r="F39" i="1" s="1"/>
  <c r="I31" i="3" l="1"/>
  <c r="D8" i="6"/>
  <c r="F36" i="1"/>
  <c r="F30" i="3"/>
  <c r="F42" i="1" s="1"/>
  <c r="F112" i="1"/>
  <c r="F113" i="1"/>
  <c r="C74" i="17"/>
  <c r="C73" i="17" s="1"/>
  <c r="B74" i="17"/>
  <c r="B73" i="17" s="1"/>
  <c r="C71" i="17"/>
  <c r="B71" i="17"/>
  <c r="C70" i="17"/>
  <c r="C69" i="17" s="1"/>
  <c r="B70" i="17"/>
  <c r="B69" i="17" s="1"/>
  <c r="C67" i="17"/>
  <c r="B67" i="17"/>
  <c r="C66" i="17"/>
  <c r="B66" i="17"/>
  <c r="C65" i="17"/>
  <c r="B65" i="17"/>
  <c r="C63" i="17"/>
  <c r="C62" i="17" s="1"/>
  <c r="C61" i="17" s="1"/>
  <c r="B63" i="17"/>
  <c r="B62" i="17" s="1"/>
  <c r="B61" i="17" s="1"/>
  <c r="C59" i="17"/>
  <c r="C58" i="17" s="1"/>
  <c r="C57" i="17" s="1"/>
  <c r="B59" i="17"/>
  <c r="B58" i="17" s="1"/>
  <c r="B57" i="17" s="1"/>
  <c r="C55" i="17"/>
  <c r="C54" i="17" s="1"/>
  <c r="C53" i="17" s="1"/>
  <c r="B55" i="17"/>
  <c r="B54" i="17"/>
  <c r="B53" i="17" s="1"/>
  <c r="C51" i="17"/>
  <c r="B51" i="17"/>
  <c r="C50" i="17"/>
  <c r="B50" i="17"/>
  <c r="C49" i="17"/>
  <c r="B49" i="17"/>
  <c r="C47" i="17"/>
  <c r="C46" i="17" s="1"/>
  <c r="C45" i="17" s="1"/>
  <c r="B47" i="17"/>
  <c r="B46" i="17"/>
  <c r="B45" i="17"/>
  <c r="C43" i="17"/>
  <c r="C42" i="17" s="1"/>
  <c r="C41" i="17" s="1"/>
  <c r="B43" i="17"/>
  <c r="B42" i="17" s="1"/>
  <c r="B41" i="17" s="1"/>
  <c r="C39" i="17"/>
  <c r="B39" i="17"/>
  <c r="C38" i="17"/>
  <c r="C37" i="17" s="1"/>
  <c r="B38" i="17"/>
  <c r="B37" i="17" s="1"/>
  <c r="C35" i="17"/>
  <c r="B35" i="17"/>
  <c r="C34" i="17"/>
  <c r="B34" i="17"/>
  <c r="C33" i="17"/>
  <c r="B33" i="17"/>
  <c r="C31" i="17"/>
  <c r="B31" i="17"/>
  <c r="B30" i="17" s="1"/>
  <c r="B29" i="17" s="1"/>
  <c r="C30" i="17"/>
  <c r="C29" i="17" s="1"/>
  <c r="C27" i="17"/>
  <c r="C26" i="17"/>
  <c r="C25" i="17" s="1"/>
  <c r="C23" i="17"/>
  <c r="C22" i="17" s="1"/>
  <c r="C21" i="17" s="1"/>
  <c r="C19" i="17"/>
  <c r="C18" i="17"/>
  <c r="C17" i="17"/>
  <c r="I25" i="3"/>
  <c r="F189" i="3" l="1"/>
  <c r="E16" i="3"/>
  <c r="C8" i="6"/>
  <c r="E15" i="3" s="1"/>
  <c r="E8" i="6"/>
  <c r="E17" i="3" s="1"/>
  <c r="F107" i="1"/>
  <c r="AN42" i="1"/>
  <c r="I30" i="3"/>
  <c r="F190" i="3" l="1"/>
  <c r="F188" i="3"/>
  <c r="F44" i="1"/>
  <c r="F105" i="1" l="1"/>
  <c r="F142" i="3"/>
  <c r="F139" i="3"/>
  <c r="F137" i="3" s="1"/>
  <c r="H143" i="3"/>
  <c r="F97" i="1" s="1"/>
  <c r="H142" i="3"/>
  <c r="G140" i="3"/>
  <c r="G138" i="3"/>
  <c r="F94" i="1" l="1"/>
  <c r="F69" i="3"/>
  <c r="F71" i="3" s="1"/>
  <c r="F66" i="3"/>
  <c r="F34" i="1" l="1"/>
  <c r="F45" i="1"/>
  <c r="F20" i="3"/>
  <c r="F116" i="1"/>
  <c r="AN51" i="1" l="1"/>
  <c r="AN52" i="1"/>
  <c r="AN53" i="1"/>
  <c r="AN54" i="1"/>
  <c r="AN55" i="1"/>
  <c r="AN56" i="1"/>
  <c r="AN50" i="1"/>
  <c r="F57" i="1" l="1"/>
  <c r="F58" i="1" s="1"/>
  <c r="F117" i="1"/>
  <c r="E35" i="14"/>
  <c r="E29" i="14"/>
  <c r="E32" i="14" s="1"/>
  <c r="E27" i="14"/>
  <c r="E26" i="14"/>
  <c r="E25" i="14"/>
  <c r="E21" i="14"/>
  <c r="H24" i="7"/>
  <c r="H25" i="7" s="1"/>
  <c r="H9" i="7"/>
  <c r="C9" i="7"/>
  <c r="E19" i="14" l="1"/>
  <c r="E59" i="14"/>
  <c r="F35" i="14"/>
  <c r="E37" i="14"/>
  <c r="E36" i="14"/>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0" i="14"/>
  <c r="E39" i="14"/>
  <c r="F37" i="14"/>
  <c r="F36" i="14"/>
  <c r="G35" i="14"/>
  <c r="E41" i="14"/>
  <c r="E42" i="14" s="1"/>
  <c r="F70" i="3"/>
  <c r="J25" i="14" l="1"/>
  <c r="E33" i="7"/>
  <c r="L24" i="14" s="1"/>
  <c r="D33" i="7"/>
  <c r="K24" i="14" s="1"/>
  <c r="K25" i="14"/>
  <c r="F33" i="7"/>
  <c r="M24" i="14" s="1"/>
  <c r="H35" i="14"/>
  <c r="G37" i="14"/>
  <c r="G36" i="14"/>
  <c r="E44" i="14"/>
  <c r="F40" i="14"/>
  <c r="F39" i="14"/>
  <c r="F41" i="14"/>
  <c r="F42" i="14" s="1"/>
  <c r="F86" i="3"/>
  <c r="F87" i="3" s="1"/>
  <c r="F84" i="3"/>
  <c r="F2" i="13"/>
  <c r="F44" i="14" l="1"/>
  <c r="G40" i="14"/>
  <c r="G39" i="14"/>
  <c r="G41" i="14"/>
  <c r="G42" i="14" s="1"/>
  <c r="H37" i="14"/>
  <c r="H36" i="14"/>
  <c r="I35" i="14"/>
  <c r="J35" i="14" l="1"/>
  <c r="I37" i="14"/>
  <c r="I36" i="14"/>
  <c r="G44" i="14"/>
  <c r="H39" i="14"/>
  <c r="H40" i="14"/>
  <c r="H41" i="14"/>
  <c r="H42" i="14" s="1"/>
  <c r="D31" i="6"/>
  <c r="H44" i="14" l="1"/>
  <c r="I40" i="14"/>
  <c r="I39" i="14"/>
  <c r="I41" i="14"/>
  <c r="I42" i="14" s="1"/>
  <c r="J37" i="14"/>
  <c r="J36" i="14"/>
  <c r="K35" i="14"/>
  <c r="F85" i="3"/>
  <c r="I44" i="14" l="1"/>
  <c r="L35" i="14"/>
  <c r="K36" i="14"/>
  <c r="K37" i="14"/>
  <c r="J40" i="14"/>
  <c r="J39" i="14"/>
  <c r="J41" i="14"/>
  <c r="J42" i="14" s="1"/>
  <c r="F72" i="3"/>
  <c r="F73" i="3" s="1"/>
  <c r="R2" i="13"/>
  <c r="Q2" i="13"/>
  <c r="A114" i="13"/>
  <c r="A113" i="13"/>
  <c r="A112" i="13"/>
  <c r="H2" i="13"/>
  <c r="F72" i="1" l="1"/>
  <c r="F74" i="3"/>
  <c r="F75" i="3"/>
  <c r="K40" i="14"/>
  <c r="K39" i="14"/>
  <c r="K41" i="14"/>
  <c r="K42" i="14" s="1"/>
  <c r="J44" i="14"/>
  <c r="L37" i="14"/>
  <c r="L36" i="14"/>
  <c r="M35" i="14"/>
  <c r="F59" i="3"/>
  <c r="O220" i="3"/>
  <c r="E224" i="3"/>
  <c r="F46" i="3"/>
  <c r="F62" i="3"/>
  <c r="F116" i="3" s="1"/>
  <c r="N35" i="14" l="1"/>
  <c r="M36" i="14"/>
  <c r="M37" i="14"/>
  <c r="L40" i="14"/>
  <c r="L39" i="14"/>
  <c r="L41" i="14"/>
  <c r="L42" i="14" s="1"/>
  <c r="K44" i="14"/>
  <c r="F63" i="3"/>
  <c r="F117" i="3"/>
  <c r="F115" i="3"/>
  <c r="D2" i="13"/>
  <c r="G2" i="13"/>
  <c r="M18" i="6"/>
  <c r="N17" i="6"/>
  <c r="F44" i="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Y22" i="13"/>
  <c r="Y15" i="13"/>
  <c r="Y18" i="13" s="1"/>
  <c r="N18" i="6"/>
  <c r="L18" i="6"/>
  <c r="L17" i="6"/>
  <c r="M17" i="6" s="1"/>
  <c r="Q17" i="6" l="1"/>
  <c r="C8" i="7"/>
  <c r="C10" i="7" s="1"/>
  <c r="C12" i="7" s="1"/>
  <c r="C13" i="7" s="1"/>
  <c r="C15" i="7" s="1"/>
  <c r="M40" i="14"/>
  <c r="M39" i="14"/>
  <c r="M41" i="14"/>
  <c r="M42" i="14" s="1"/>
  <c r="L44" i="14"/>
  <c r="N37" i="14"/>
  <c r="N36" i="14"/>
  <c r="O35" i="14"/>
  <c r="H73" i="3"/>
  <c r="C114" i="13"/>
  <c r="E114" i="13" s="1"/>
  <c r="C113" i="13"/>
  <c r="E113" i="13" s="1"/>
  <c r="C112" i="13"/>
  <c r="E112" i="13" s="1"/>
  <c r="C80" i="13"/>
  <c r="E80" i="13" s="1"/>
  <c r="C62" i="13"/>
  <c r="E62" i="13" s="1"/>
  <c r="C111" i="13"/>
  <c r="E111" i="13" s="1"/>
  <c r="C75" i="13"/>
  <c r="E75" i="13" s="1"/>
  <c r="C43" i="13"/>
  <c r="E43" i="13" s="1"/>
  <c r="C95" i="13"/>
  <c r="E95" i="13" s="1"/>
  <c r="C91" i="13"/>
  <c r="E91" i="13" s="1"/>
  <c r="C102" i="13"/>
  <c r="E102" i="13" s="1"/>
  <c r="C76" i="13"/>
  <c r="E76" i="13" s="1"/>
  <c r="C72" i="13"/>
  <c r="E72" i="13" s="1"/>
  <c r="C15" i="13"/>
  <c r="E15" i="13" s="1"/>
  <c r="C11" i="13"/>
  <c r="E11" i="13" s="1"/>
  <c r="C101" i="13"/>
  <c r="E101" i="13" s="1"/>
  <c r="C100" i="13"/>
  <c r="E100" i="13" s="1"/>
  <c r="C98" i="13"/>
  <c r="E98" i="13" s="1"/>
  <c r="C90" i="13"/>
  <c r="E90" i="13" s="1"/>
  <c r="C79" i="13"/>
  <c r="E79" i="13" s="1"/>
  <c r="C74" i="13"/>
  <c r="E74" i="13" s="1"/>
  <c r="C58" i="13"/>
  <c r="E58" i="13" s="1"/>
  <c r="C54" i="13"/>
  <c r="E54" i="13" s="1"/>
  <c r="C49" i="13"/>
  <c r="E49" i="13" s="1"/>
  <c r="C47" i="13"/>
  <c r="E47" i="13" s="1"/>
  <c r="C39" i="13"/>
  <c r="E39" i="13" s="1"/>
  <c r="C32" i="13"/>
  <c r="E32" i="13" s="1"/>
  <c r="C23" i="13"/>
  <c r="E23" i="13" s="1"/>
  <c r="C19" i="13"/>
  <c r="E19" i="13" s="1"/>
  <c r="C110" i="13"/>
  <c r="E110" i="13" s="1"/>
  <c r="C109" i="13"/>
  <c r="E109" i="13" s="1"/>
  <c r="C107" i="13"/>
  <c r="E107" i="13" s="1"/>
  <c r="C99" i="13"/>
  <c r="E99" i="13" s="1"/>
  <c r="C96" i="13"/>
  <c r="E96" i="13" s="1"/>
  <c r="C84" i="13"/>
  <c r="E84" i="13" s="1"/>
  <c r="C82" i="13"/>
  <c r="E82" i="13" s="1"/>
  <c r="C69" i="13"/>
  <c r="E69" i="13" s="1"/>
  <c r="C67" i="13"/>
  <c r="E67" i="13" s="1"/>
  <c r="C65" i="13"/>
  <c r="E65" i="13" s="1"/>
  <c r="C63" i="13"/>
  <c r="E63" i="13" s="1"/>
  <c r="C59" i="13"/>
  <c r="E59" i="13" s="1"/>
  <c r="C36" i="13"/>
  <c r="E36" i="13" s="1"/>
  <c r="C20" i="13"/>
  <c r="E20" i="13" s="1"/>
  <c r="C105" i="13"/>
  <c r="E105" i="13" s="1"/>
  <c r="C103" i="13"/>
  <c r="E103" i="13" s="1"/>
  <c r="C92" i="13"/>
  <c r="E92" i="13" s="1"/>
  <c r="C88" i="13"/>
  <c r="E88" i="13" s="1"/>
  <c r="C87" i="13"/>
  <c r="E87" i="13" s="1"/>
  <c r="C83" i="13"/>
  <c r="E83" i="13" s="1"/>
  <c r="C71" i="13"/>
  <c r="E71" i="13" s="1"/>
  <c r="C68" i="13"/>
  <c r="E68" i="13" s="1"/>
  <c r="C66" i="13"/>
  <c r="E66" i="13" s="1"/>
  <c r="C57" i="13"/>
  <c r="E57" i="13" s="1"/>
  <c r="C55" i="13"/>
  <c r="E55" i="13" s="1"/>
  <c r="C51" i="13"/>
  <c r="E51" i="13" s="1"/>
  <c r="C46" i="13"/>
  <c r="E46" i="13" s="1"/>
  <c r="C44" i="13"/>
  <c r="E44" i="13" s="1"/>
  <c r="C40" i="13"/>
  <c r="E40" i="13" s="1"/>
  <c r="C35" i="13"/>
  <c r="E35" i="13" s="1"/>
  <c r="C31" i="13"/>
  <c r="E31" i="13" s="1"/>
  <c r="C27" i="13"/>
  <c r="E27" i="13" s="1"/>
  <c r="C50" i="13"/>
  <c r="E50" i="13" s="1"/>
  <c r="C28" i="13"/>
  <c r="E28" i="13" s="1"/>
  <c r="C24" i="13"/>
  <c r="E24" i="13" s="1"/>
  <c r="C16" i="13"/>
  <c r="E16" i="13" s="1"/>
  <c r="C12" i="13"/>
  <c r="E12" i="13" s="1"/>
  <c r="C108" i="13"/>
  <c r="E108" i="13" s="1"/>
  <c r="C94" i="13"/>
  <c r="E94" i="13" s="1"/>
  <c r="C77" i="13"/>
  <c r="E77" i="13" s="1"/>
  <c r="C106" i="13"/>
  <c r="E106" i="13" s="1"/>
  <c r="C93" i="13"/>
  <c r="E93" i="13" s="1"/>
  <c r="C86" i="13"/>
  <c r="E86" i="13" s="1"/>
  <c r="C104" i="13"/>
  <c r="E104" i="13" s="1"/>
  <c r="C85" i="13"/>
  <c r="E85" i="13" s="1"/>
  <c r="C78" i="13"/>
  <c r="E78" i="13" s="1"/>
  <c r="C97" i="13"/>
  <c r="E97" i="13" s="1"/>
  <c r="C89" i="13"/>
  <c r="E89" i="13" s="1"/>
  <c r="C81" i="13"/>
  <c r="E81" i="13" s="1"/>
  <c r="C73" i="13"/>
  <c r="E73" i="13" s="1"/>
  <c r="C61" i="13"/>
  <c r="E61" i="13" s="1"/>
  <c r="C53" i="13"/>
  <c r="E53" i="13" s="1"/>
  <c r="C70" i="13"/>
  <c r="E70" i="13" s="1"/>
  <c r="C60" i="13"/>
  <c r="E60" i="13" s="1"/>
  <c r="C52" i="13"/>
  <c r="E52" i="13" s="1"/>
  <c r="C64" i="13"/>
  <c r="E64" i="13" s="1"/>
  <c r="C56" i="13"/>
  <c r="E56" i="13" s="1"/>
  <c r="C48" i="13"/>
  <c r="E48" i="13" s="1"/>
  <c r="C45" i="13"/>
  <c r="E45" i="13" s="1"/>
  <c r="C42" i="13"/>
  <c r="E42" i="13" s="1"/>
  <c r="C41" i="13"/>
  <c r="E41" i="13" s="1"/>
  <c r="C38" i="13"/>
  <c r="E38" i="13" s="1"/>
  <c r="C37" i="13"/>
  <c r="E37" i="13" s="1"/>
  <c r="C34" i="13"/>
  <c r="E34" i="13" s="1"/>
  <c r="C33" i="13"/>
  <c r="E33" i="13" s="1"/>
  <c r="C30" i="13"/>
  <c r="E30" i="13" s="1"/>
  <c r="C29" i="13"/>
  <c r="E29" i="13" s="1"/>
  <c r="C26" i="13"/>
  <c r="E26" i="13" s="1"/>
  <c r="C25" i="13"/>
  <c r="E25" i="13" s="1"/>
  <c r="C22" i="13"/>
  <c r="E22" i="13" s="1"/>
  <c r="C21" i="13"/>
  <c r="E21" i="13" s="1"/>
  <c r="C18" i="13"/>
  <c r="E18" i="13" s="1"/>
  <c r="C17" i="13"/>
  <c r="E17" i="13" s="1"/>
  <c r="C14" i="13"/>
  <c r="E14" i="13" s="1"/>
  <c r="C13" i="13"/>
  <c r="E13" i="13" s="1"/>
  <c r="Y24" i="13"/>
  <c r="C10" i="13"/>
  <c r="E10" i="13" s="1"/>
  <c r="F10" i="13" l="1"/>
  <c r="F73" i="1"/>
  <c r="C11" i="7"/>
  <c r="C14" i="7" s="1"/>
  <c r="C19" i="7" s="1"/>
  <c r="C18" i="7" s="1"/>
  <c r="C20" i="7" s="1"/>
  <c r="C22" i="7" s="1"/>
  <c r="P35" i="14"/>
  <c r="O37" i="14"/>
  <c r="O36" i="14"/>
  <c r="N40" i="14"/>
  <c r="N39" i="14"/>
  <c r="N41" i="14"/>
  <c r="N42" i="14" s="1"/>
  <c r="M44" i="14"/>
  <c r="E23" i="14"/>
  <c r="F104" i="1"/>
  <c r="N44" i="14" l="1"/>
  <c r="O40" i="14"/>
  <c r="O39" i="14"/>
  <c r="O41" i="14"/>
  <c r="O42" i="14" s="1"/>
  <c r="P37" i="14"/>
  <c r="P36" i="14"/>
  <c r="Q35" i="14"/>
  <c r="F126" i="3"/>
  <c r="F125" i="3"/>
  <c r="F124" i="3"/>
  <c r="F123" i="3"/>
  <c r="F121" i="3"/>
  <c r="F122" i="3"/>
  <c r="R35" i="14" l="1"/>
  <c r="Q37" i="14"/>
  <c r="Q36" i="14"/>
  <c r="P39" i="14"/>
  <c r="P40" i="14"/>
  <c r="P41" i="14"/>
  <c r="P42" i="14" s="1"/>
  <c r="O44" i="14"/>
  <c r="J120" i="3"/>
  <c r="I118" i="3"/>
  <c r="I120" i="3"/>
  <c r="H120" i="3"/>
  <c r="J118" i="3"/>
  <c r="H118" i="3"/>
  <c r="J119" i="3"/>
  <c r="I119" i="3"/>
  <c r="H119" i="3"/>
  <c r="F118" i="3" l="1"/>
  <c r="Q39" i="14"/>
  <c r="Q40" i="14"/>
  <c r="Q41" i="14"/>
  <c r="Q42" i="14" s="1"/>
  <c r="P44" i="14"/>
  <c r="R37" i="14"/>
  <c r="R36" i="14"/>
  <c r="S35" i="14"/>
  <c r="F120" i="3"/>
  <c r="F119" i="3"/>
  <c r="T35" i="14" l="1"/>
  <c r="S36" i="14"/>
  <c r="S37" i="14"/>
  <c r="R40" i="14"/>
  <c r="R39" i="14"/>
  <c r="R41" i="14"/>
  <c r="R42" i="14" s="1"/>
  <c r="Q44" i="14"/>
  <c r="AO48" i="1"/>
  <c r="S40" i="14" l="1"/>
  <c r="S39" i="14"/>
  <c r="S41" i="14"/>
  <c r="S42" i="14" s="1"/>
  <c r="R44" i="14"/>
  <c r="T37" i="14"/>
  <c r="T36" i="14"/>
  <c r="U35" i="14"/>
  <c r="S44" i="14" l="1"/>
  <c r="V35" i="14"/>
  <c r="U36" i="14"/>
  <c r="U37" i="14"/>
  <c r="T40" i="14"/>
  <c r="T39" i="14"/>
  <c r="T41" i="14"/>
  <c r="T42" i="14" s="1"/>
  <c r="U40" i="14" l="1"/>
  <c r="U39" i="14"/>
  <c r="U41" i="14"/>
  <c r="U42" i="14" s="1"/>
  <c r="T44" i="14"/>
  <c r="V37" i="14"/>
  <c r="V36" i="14"/>
  <c r="W35" i="14"/>
  <c r="X35" i="14" l="1"/>
  <c r="W37" i="14"/>
  <c r="W36" i="14"/>
  <c r="V40" i="14"/>
  <c r="V39" i="14"/>
  <c r="V41" i="14"/>
  <c r="V42" i="14" s="1"/>
  <c r="U44" i="14"/>
  <c r="V44" i="14" l="1"/>
  <c r="W40" i="14"/>
  <c r="W39" i="14"/>
  <c r="W41" i="14"/>
  <c r="W42" i="14" s="1"/>
  <c r="X37" i="14"/>
  <c r="X36" i="14"/>
  <c r="W44" i="14" l="1"/>
  <c r="X39" i="14"/>
  <c r="X40" i="14"/>
  <c r="X41" i="14"/>
  <c r="X42" i="14" s="1"/>
  <c r="X44" i="14" l="1"/>
  <c r="C25" i="7"/>
  <c r="C26" i="7" l="1"/>
  <c r="C39" i="7" s="1"/>
  <c r="C40" i="7" l="1"/>
  <c r="C41" i="7"/>
  <c r="F88" i="3"/>
  <c r="F41" i="3" l="1"/>
  <c r="F40" i="3"/>
  <c r="F39" i="3"/>
  <c r="F38" i="3"/>
  <c r="G67" i="1" l="1"/>
  <c r="F161" i="3" l="1"/>
  <c r="F160" i="3"/>
  <c r="O225" i="3"/>
  <c r="H40" i="3" l="1"/>
  <c r="H38" i="3"/>
  <c r="H41" i="3"/>
  <c r="H39" i="3"/>
  <c r="F162" i="3"/>
  <c r="O224" i="3"/>
  <c r="O221" i="3"/>
  <c r="O223" i="3"/>
  <c r="O222" i="3"/>
  <c r="F186" i="3"/>
  <c r="U221" i="3" s="1"/>
  <c r="F185" i="3"/>
  <c r="F184" i="3"/>
  <c r="F87" i="1"/>
  <c r="F111" i="1"/>
  <c r="F110" i="1"/>
  <c r="F109" i="1"/>
  <c r="F108" i="1"/>
  <c r="F84" i="1" l="1"/>
  <c r="F86" i="1"/>
  <c r="T219" i="3"/>
  <c r="T220" i="3"/>
  <c r="T221" i="3"/>
  <c r="S219" i="3"/>
  <c r="U219" i="3"/>
  <c r="S220" i="3"/>
  <c r="U220" i="3"/>
  <c r="S221" i="3"/>
  <c r="F85" i="1" l="1"/>
  <c r="P67" i="13" l="1"/>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F44" i="13"/>
  <c r="G44" i="13" s="1"/>
  <c r="H44" i="13" s="1"/>
  <c r="I44" i="13" s="1"/>
  <c r="F86" i="13"/>
  <c r="G86" i="13" s="1"/>
  <c r="O86" i="13" s="1"/>
  <c r="F51" i="13"/>
  <c r="G51" i="13" s="1"/>
  <c r="O51" i="13" s="1"/>
  <c r="F113" i="13"/>
  <c r="G113" i="13" s="1"/>
  <c r="O113" i="13" s="1"/>
  <c r="F112" i="13"/>
  <c r="G112" i="13" s="1"/>
  <c r="H112" i="13" s="1"/>
  <c r="I112" i="13" s="1"/>
  <c r="F78" i="13"/>
  <c r="G78" i="13" s="1"/>
  <c r="H78" i="13" s="1"/>
  <c r="I78" i="13" s="1"/>
  <c r="F93" i="13"/>
  <c r="G93" i="13" s="1"/>
  <c r="H93" i="13" s="1"/>
  <c r="I93" i="13" s="1"/>
  <c r="F30" i="13"/>
  <c r="G30" i="13" s="1"/>
  <c r="H30" i="13" s="1"/>
  <c r="I30" i="13" s="1"/>
  <c r="F81" i="13"/>
  <c r="G81" i="13" s="1"/>
  <c r="H81" i="13" s="1"/>
  <c r="I81" i="13" s="1"/>
  <c r="F91" i="13"/>
  <c r="G91" i="13" s="1"/>
  <c r="O91" i="13" s="1"/>
  <c r="F31" i="13"/>
  <c r="G31" i="13" s="1"/>
  <c r="O31" i="13" s="1"/>
  <c r="F12" i="13"/>
  <c r="G12" i="13" s="1"/>
  <c r="O12" i="13" s="1"/>
  <c r="F68" i="13"/>
  <c r="G68" i="13" s="1"/>
  <c r="O68" i="13" s="1"/>
  <c r="F26" i="13"/>
  <c r="G26" i="13" s="1"/>
  <c r="H26" i="13" s="1"/>
  <c r="I26" i="13" s="1"/>
  <c r="F25" i="13"/>
  <c r="G25" i="13" s="1"/>
  <c r="F24" i="13"/>
  <c r="G24" i="13" s="1"/>
  <c r="F40" i="13"/>
  <c r="G40" i="13" s="1"/>
  <c r="O40" i="13" s="1"/>
  <c r="F36" i="13"/>
  <c r="G36" i="13" s="1"/>
  <c r="F67" i="13"/>
  <c r="G67" i="13" s="1"/>
  <c r="F62" i="13"/>
  <c r="G62" i="13" s="1"/>
  <c r="O62" i="13" s="1"/>
  <c r="F73" i="13"/>
  <c r="G73" i="13" s="1"/>
  <c r="O73" i="13" s="1"/>
  <c r="F22" i="13"/>
  <c r="G22" i="13" s="1"/>
  <c r="O22" i="13" s="1"/>
  <c r="F60" i="13"/>
  <c r="G60" i="13" s="1"/>
  <c r="H60" i="13" s="1"/>
  <c r="I60" i="13" s="1"/>
  <c r="F46" i="13"/>
  <c r="G46" i="13" s="1"/>
  <c r="H46" i="13" s="1"/>
  <c r="I46" i="13" s="1"/>
  <c r="F101" i="13"/>
  <c r="G101" i="13" s="1"/>
  <c r="F43" i="13"/>
  <c r="G43" i="13" s="1"/>
  <c r="F82" i="13"/>
  <c r="G82" i="13" s="1"/>
  <c r="F111" i="13"/>
  <c r="G111" i="13" s="1"/>
  <c r="F69" i="13"/>
  <c r="G69" i="13" s="1"/>
  <c r="F95" i="13"/>
  <c r="G95" i="13" s="1"/>
  <c r="F21" i="13"/>
  <c r="G21" i="13" s="1"/>
  <c r="F66" i="13"/>
  <c r="G66" i="13" s="1"/>
  <c r="F49" i="13"/>
  <c r="G49" i="13" s="1"/>
  <c r="O49" i="13" s="1"/>
  <c r="F90" i="13"/>
  <c r="G90" i="13" s="1"/>
  <c r="F77" i="13"/>
  <c r="G77" i="13" s="1"/>
  <c r="F100" i="13"/>
  <c r="G100" i="13" s="1"/>
  <c r="F38" i="13"/>
  <c r="G38" i="13" s="1"/>
  <c r="H38" i="13" s="1"/>
  <c r="I38" i="13" s="1"/>
  <c r="F64" i="13"/>
  <c r="G64" i="13" s="1"/>
  <c r="F56" i="13"/>
  <c r="G56" i="13" s="1"/>
  <c r="H56" i="13" s="1"/>
  <c r="I56" i="13" s="1"/>
  <c r="F87" i="13"/>
  <c r="G87" i="13" s="1"/>
  <c r="O87" i="13" s="1"/>
  <c r="Q10" i="13"/>
  <c r="F110" i="13"/>
  <c r="G110" i="13" s="1"/>
  <c r="F28" i="13"/>
  <c r="G28" i="13" s="1"/>
  <c r="F92" i="13"/>
  <c r="G92" i="13" s="1"/>
  <c r="F105" i="13"/>
  <c r="G105" i="13" s="1"/>
  <c r="O105" i="13" s="1"/>
  <c r="F103" i="13"/>
  <c r="G103" i="13" s="1"/>
  <c r="O103" i="13" s="1"/>
  <c r="F71" i="13"/>
  <c r="G71" i="13" s="1"/>
  <c r="F57" i="13"/>
  <c r="G57" i="13" s="1"/>
  <c r="F50" i="13"/>
  <c r="G50" i="13" s="1"/>
  <c r="F98" i="13"/>
  <c r="G98" i="13" s="1"/>
  <c r="H98" i="13" s="1"/>
  <c r="I98" i="13" s="1"/>
  <c r="F70" i="13"/>
  <c r="G70" i="13" s="1"/>
  <c r="O70" i="13" s="1"/>
  <c r="F114" i="13"/>
  <c r="G114" i="13" s="1"/>
  <c r="F47" i="13"/>
  <c r="G47" i="13" s="1"/>
  <c r="H47" i="13" s="1"/>
  <c r="I47" i="13" s="1"/>
  <c r="F15" i="13"/>
  <c r="G15" i="13" s="1"/>
  <c r="O15" i="13" s="1"/>
  <c r="F23" i="13"/>
  <c r="G23" i="13" s="1"/>
  <c r="H23" i="13" s="1"/>
  <c r="I23" i="13" s="1"/>
  <c r="F108" i="13"/>
  <c r="G108" i="13" s="1"/>
  <c r="F94" i="13"/>
  <c r="G94" i="13" s="1"/>
  <c r="F107" i="13"/>
  <c r="G107" i="13" s="1"/>
  <c r="F32" i="13"/>
  <c r="G32" i="13" s="1"/>
  <c r="F104" i="13"/>
  <c r="G104" i="13" s="1"/>
  <c r="F29" i="13"/>
  <c r="G29" i="13" s="1"/>
  <c r="O29" i="13" s="1"/>
  <c r="F54" i="13"/>
  <c r="G54" i="13" s="1"/>
  <c r="H54" i="13" s="1"/>
  <c r="I54" i="13" s="1"/>
  <c r="F109" i="13"/>
  <c r="G109" i="13" s="1"/>
  <c r="F13" i="13"/>
  <c r="G13" i="13" s="1"/>
  <c r="F35" i="13"/>
  <c r="G35" i="13" s="1"/>
  <c r="H35" i="13" s="1"/>
  <c r="I35" i="13" s="1"/>
  <c r="F14" i="13"/>
  <c r="G14" i="13" s="1"/>
  <c r="O14" i="13" s="1"/>
  <c r="F65" i="13"/>
  <c r="G65" i="13" s="1"/>
  <c r="F55" i="13"/>
  <c r="G55" i="13" s="1"/>
  <c r="O55" i="13" s="1"/>
  <c r="F106" i="13"/>
  <c r="G106" i="13" s="1"/>
  <c r="O106" i="13" s="1"/>
  <c r="F19" i="13"/>
  <c r="G19" i="13" s="1"/>
  <c r="F58" i="13"/>
  <c r="G58" i="13" s="1"/>
  <c r="O58" i="13" s="1"/>
  <c r="F83" i="13"/>
  <c r="G83" i="13" s="1"/>
  <c r="O83" i="13" s="1"/>
  <c r="F63" i="13"/>
  <c r="G63" i="13" s="1"/>
  <c r="O63" i="13" s="1"/>
  <c r="F45" i="13"/>
  <c r="G45" i="13" s="1"/>
  <c r="F76" i="13"/>
  <c r="G76" i="13" s="1"/>
  <c r="H76" i="13" s="1"/>
  <c r="I76" i="13" s="1"/>
  <c r="F97" i="13"/>
  <c r="G97" i="13" s="1"/>
  <c r="F18" i="13"/>
  <c r="G18" i="13" s="1"/>
  <c r="O18" i="13" s="1"/>
  <c r="F74" i="13"/>
  <c r="G74" i="13" s="1"/>
  <c r="H74" i="13" s="1"/>
  <c r="I74" i="13" s="1"/>
  <c r="F80" i="13"/>
  <c r="G80" i="13" s="1"/>
  <c r="F41" i="13"/>
  <c r="G41" i="13" s="1"/>
  <c r="O41" i="13" s="1"/>
  <c r="F27" i="13"/>
  <c r="G27" i="13" s="1"/>
  <c r="F61" i="13"/>
  <c r="G61" i="13" s="1"/>
  <c r="F42" i="13"/>
  <c r="G42" i="13" s="1"/>
  <c r="O42" i="13" s="1"/>
  <c r="F53" i="13"/>
  <c r="G53" i="13" s="1"/>
  <c r="H53" i="13" s="1"/>
  <c r="I53" i="13" s="1"/>
  <c r="F102" i="13"/>
  <c r="G102" i="13" s="1"/>
  <c r="F48" i="13"/>
  <c r="G48" i="13" s="1"/>
  <c r="O48" i="13" s="1"/>
  <c r="F88" i="13"/>
  <c r="G88" i="13" s="1"/>
  <c r="H88" i="13" s="1"/>
  <c r="I88" i="13" s="1"/>
  <c r="F33" i="13"/>
  <c r="G33" i="13" s="1"/>
  <c r="F20" i="13"/>
  <c r="G20" i="13" s="1"/>
  <c r="F89" i="13"/>
  <c r="G89" i="13" s="1"/>
  <c r="F96" i="13"/>
  <c r="G96" i="13" s="1"/>
  <c r="O96" i="13" s="1"/>
  <c r="F85" i="13"/>
  <c r="G85" i="13" s="1"/>
  <c r="F39" i="13"/>
  <c r="G39" i="13" s="1"/>
  <c r="F99" i="13"/>
  <c r="G99" i="13" s="1"/>
  <c r="F11" i="13"/>
  <c r="G11" i="13" s="1"/>
  <c r="O11" i="13" s="1"/>
  <c r="F34" i="13"/>
  <c r="G34" i="13" s="1"/>
  <c r="H34" i="13" s="1"/>
  <c r="I34" i="13" s="1"/>
  <c r="F59" i="13"/>
  <c r="G59" i="13" s="1"/>
  <c r="F72" i="13"/>
  <c r="G72" i="13" s="1"/>
  <c r="F16" i="13"/>
  <c r="G16" i="13" s="1"/>
  <c r="O16" i="13" s="1"/>
  <c r="F79" i="13"/>
  <c r="G79" i="13" s="1"/>
  <c r="F52" i="13"/>
  <c r="G52" i="13" s="1"/>
  <c r="F75" i="13"/>
  <c r="G75" i="13" s="1"/>
  <c r="F17" i="13"/>
  <c r="G17" i="13" s="1"/>
  <c r="F84" i="13"/>
  <c r="G84" i="13" s="1"/>
  <c r="G10" i="13"/>
  <c r="O10" i="13" s="1"/>
  <c r="N54" i="13" l="1"/>
  <c r="L38" i="13"/>
  <c r="L44" i="13"/>
  <c r="L74" i="13"/>
  <c r="N47" i="13"/>
  <c r="H42" i="13"/>
  <c r="I42" i="13" s="1"/>
  <c r="O114" i="13"/>
  <c r="H114" i="13"/>
  <c r="H11" i="13"/>
  <c r="I11" i="13" s="1"/>
  <c r="L34" i="13"/>
  <c r="H10" i="13"/>
  <c r="H62" i="13"/>
  <c r="I62" i="13" s="1"/>
  <c r="O38" i="13"/>
  <c r="H63" i="13"/>
  <c r="I63" i="13" s="1"/>
  <c r="H55" i="13"/>
  <c r="I55" i="13" s="1"/>
  <c r="H49" i="13"/>
  <c r="I49" i="13" s="1"/>
  <c r="H68" i="13"/>
  <c r="I68" i="13" s="1"/>
  <c r="H89" i="13"/>
  <c r="I89" i="13" s="1"/>
  <c r="O89" i="13"/>
  <c r="N93" i="13"/>
  <c r="L93"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N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L76" i="13"/>
  <c r="H100" i="13"/>
  <c r="I100" i="13" s="1"/>
  <c r="O100" i="13"/>
  <c r="O84" i="13"/>
  <c r="H84" i="13"/>
  <c r="I84" i="13" s="1"/>
  <c r="H45" i="13"/>
  <c r="O45" i="13"/>
  <c r="O19" i="13"/>
  <c r="H19" i="13"/>
  <c r="I19" i="13" s="1"/>
  <c r="O65" i="13"/>
  <c r="H65" i="13"/>
  <c r="I65" i="13" s="1"/>
  <c r="O64" i="13"/>
  <c r="H64" i="13"/>
  <c r="I64" i="13" s="1"/>
  <c r="O102" i="13"/>
  <c r="H102" i="13"/>
  <c r="I102" i="13" s="1"/>
  <c r="L98" i="13"/>
  <c r="L23" i="13"/>
  <c r="O66" i="13"/>
  <c r="H66" i="13"/>
  <c r="I66" i="13" s="1"/>
  <c r="O104" i="13"/>
  <c r="H104" i="13"/>
  <c r="I104" i="13" s="1"/>
  <c r="L53" i="13"/>
  <c r="H107" i="13"/>
  <c r="I107" i="13" s="1"/>
  <c r="O107" i="13"/>
  <c r="O76" i="13"/>
  <c r="L56" i="13"/>
  <c r="O82" i="13"/>
  <c r="H82" i="13"/>
  <c r="I82" i="13" s="1"/>
  <c r="O25" i="13"/>
  <c r="H25" i="13"/>
  <c r="I25" i="13" s="1"/>
  <c r="H87" i="13"/>
  <c r="L112" i="13"/>
  <c r="N112" i="13"/>
  <c r="O112" i="13"/>
  <c r="O79" i="13"/>
  <c r="H79" i="13"/>
  <c r="I79" i="13" s="1"/>
  <c r="H32" i="13"/>
  <c r="I32" i="13" s="1"/>
  <c r="O32" i="13"/>
  <c r="H58" i="13"/>
  <c r="I58" i="13" s="1"/>
  <c r="L47" i="13"/>
  <c r="H71" i="13"/>
  <c r="I71" i="13" s="1"/>
  <c r="O71" i="13"/>
  <c r="O98" i="13"/>
  <c r="O54" i="13"/>
  <c r="N38" i="13"/>
  <c r="Q5" i="13"/>
  <c r="O61" i="13"/>
  <c r="H61" i="13"/>
  <c r="I61" i="13" s="1"/>
  <c r="N35" i="13"/>
  <c r="L35" i="13"/>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L54" i="13"/>
  <c r="O23" i="13"/>
  <c r="O88" i="13"/>
  <c r="O75" i="13"/>
  <c r="H75" i="13"/>
  <c r="O97" i="13"/>
  <c r="H97" i="13"/>
  <c r="O50" i="13"/>
  <c r="H50" i="13"/>
  <c r="I50" i="13" s="1"/>
  <c r="O92" i="13"/>
  <c r="H92" i="13"/>
  <c r="I92" i="13" s="1"/>
  <c r="N60" i="13"/>
  <c r="L60" i="13"/>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L88" i="13"/>
  <c r="O35" i="13"/>
  <c r="H101" i="13"/>
  <c r="I101" i="13" s="1"/>
  <c r="O101" i="13"/>
  <c r="L78" i="13"/>
  <c r="H51" i="13"/>
  <c r="I51" i="13" s="1"/>
  <c r="O78" i="13"/>
  <c r="O93" i="13"/>
  <c r="N98" i="13" l="1"/>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20" i="13"/>
  <c r="N21" i="13"/>
  <c r="N55" i="13"/>
  <c r="N56" i="13"/>
  <c r="L18" i="13"/>
  <c r="N19" i="13"/>
  <c r="L31" i="13"/>
  <c r="L63" i="13"/>
  <c r="L29" i="13"/>
  <c r="N30" i="13"/>
  <c r="L16" i="13"/>
  <c r="N17" i="13"/>
  <c r="N90" i="13"/>
  <c r="N39" i="13"/>
  <c r="N40" i="13"/>
  <c r="N68" i="13"/>
  <c r="N42" i="13"/>
  <c r="Q4" i="13"/>
  <c r="F77"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N5" i="13" l="1"/>
  <c r="O2" i="13"/>
  <c r="J10" i="13"/>
  <c r="F76" i="3" l="1"/>
  <c r="E22" i="14" s="1"/>
  <c r="J11" i="13"/>
  <c r="K10" i="13"/>
  <c r="F78" i="3" l="1"/>
  <c r="H8" i="7" s="1"/>
  <c r="O38" i="14"/>
  <c r="O45" i="14" s="1"/>
  <c r="O48" i="14" s="1"/>
  <c r="P38" i="14"/>
  <c r="P45" i="14" s="1"/>
  <c r="P48" i="14" s="1"/>
  <c r="E38" i="14"/>
  <c r="E45" i="14" s="1"/>
  <c r="E48" i="14" s="1"/>
  <c r="F38" i="14"/>
  <c r="F45" i="14" s="1"/>
  <c r="F47" i="14" s="1"/>
  <c r="R38" i="14"/>
  <c r="R45" i="14" s="1"/>
  <c r="R47" i="14" s="1"/>
  <c r="S38" i="14"/>
  <c r="S45" i="14" s="1"/>
  <c r="S48" i="14" s="1"/>
  <c r="H38" i="14"/>
  <c r="H45" i="14" s="1"/>
  <c r="H47" i="14" s="1"/>
  <c r="T38" i="14"/>
  <c r="T45" i="14" s="1"/>
  <c r="T47" i="14" s="1"/>
  <c r="U38" i="14"/>
  <c r="U45" i="14" s="1"/>
  <c r="U47" i="14" s="1"/>
  <c r="J38" i="14"/>
  <c r="J45" i="14" s="1"/>
  <c r="J48" i="14" s="1"/>
  <c r="V38" i="14"/>
  <c r="V45" i="14" s="1"/>
  <c r="V48" i="14" s="1"/>
  <c r="K38" i="14"/>
  <c r="K45" i="14" s="1"/>
  <c r="K48" i="14" s="1"/>
  <c r="W38" i="14"/>
  <c r="W45" i="14" s="1"/>
  <c r="W47" i="14" s="1"/>
  <c r="M38" i="14"/>
  <c r="M45" i="14" s="1"/>
  <c r="M47" i="14" s="1"/>
  <c r="G38" i="14"/>
  <c r="G45" i="14" s="1"/>
  <c r="G47" i="14" s="1"/>
  <c r="X38" i="14"/>
  <c r="X45" i="14" s="1"/>
  <c r="X47" i="14" s="1"/>
  <c r="Q38" i="14"/>
  <c r="Q45" i="14" s="1"/>
  <c r="Q48" i="14" s="1"/>
  <c r="L38" i="14"/>
  <c r="L45" i="14" s="1"/>
  <c r="L47" i="14" s="1"/>
  <c r="N38" i="14"/>
  <c r="N45" i="14" s="1"/>
  <c r="N48" i="14" s="1"/>
  <c r="I38" i="14"/>
  <c r="I45" i="14" s="1"/>
  <c r="I47" i="14" s="1"/>
  <c r="H10" i="7"/>
  <c r="H12" i="7" s="1"/>
  <c r="H13" i="7" s="1"/>
  <c r="H15" i="7" s="1"/>
  <c r="R48" i="14"/>
  <c r="F48" i="14"/>
  <c r="J12" i="13"/>
  <c r="K11" i="13"/>
  <c r="O47" i="14" l="1"/>
  <c r="W48" i="14"/>
  <c r="W50" i="14" s="1"/>
  <c r="W51" i="14" s="1"/>
  <c r="W52" i="14" s="1"/>
  <c r="W54" i="14" s="1"/>
  <c r="P47" i="14"/>
  <c r="X48" i="14"/>
  <c r="X50" i="14" s="1"/>
  <c r="X51" i="14" s="1"/>
  <c r="X52" i="14" s="1"/>
  <c r="X54" i="14" s="1"/>
  <c r="E47" i="14"/>
  <c r="E50" i="14" s="1"/>
  <c r="E51" i="14" s="1"/>
  <c r="E52" i="14" s="1"/>
  <c r="E54" i="14" s="1"/>
  <c r="E55" i="14" s="1"/>
  <c r="E58" i="14" s="1"/>
  <c r="M48" i="14"/>
  <c r="M50" i="14" s="1"/>
  <c r="M51" i="14" s="1"/>
  <c r="M52" i="14" s="1"/>
  <c r="M54" i="14" s="1"/>
  <c r="G48" i="14"/>
  <c r="T48" i="14"/>
  <c r="T50" i="14" s="1"/>
  <c r="T51" i="14" s="1"/>
  <c r="T52" i="14" s="1"/>
  <c r="T54" i="14" s="1"/>
  <c r="S47" i="14"/>
  <c r="S50" i="14" s="1"/>
  <c r="S51" i="14" s="1"/>
  <c r="S52" i="14" s="1"/>
  <c r="S54" i="14" s="1"/>
  <c r="Q47" i="14"/>
  <c r="Q50" i="14" s="1"/>
  <c r="Q51" i="14" s="1"/>
  <c r="Q52" i="14" s="1"/>
  <c r="Q54" i="14" s="1"/>
  <c r="L48" i="14"/>
  <c r="L50" i="14" s="1"/>
  <c r="L51" i="14" s="1"/>
  <c r="L52" i="14" s="1"/>
  <c r="L54" i="14" s="1"/>
  <c r="U48" i="14"/>
  <c r="U50" i="14" s="1"/>
  <c r="U51" i="14" s="1"/>
  <c r="U52" i="14" s="1"/>
  <c r="U54" i="14" s="1"/>
  <c r="K47" i="14"/>
  <c r="K50" i="14" s="1"/>
  <c r="K51" i="14" s="1"/>
  <c r="K52" i="14" s="1"/>
  <c r="K54" i="14" s="1"/>
  <c r="V47" i="14"/>
  <c r="V50" i="14" s="1"/>
  <c r="V51" i="14" s="1"/>
  <c r="V52" i="14" s="1"/>
  <c r="V54" i="14" s="1"/>
  <c r="J47" i="14"/>
  <c r="J50" i="14" s="1"/>
  <c r="J51" i="14" s="1"/>
  <c r="J52" i="14" s="1"/>
  <c r="J54" i="14" s="1"/>
  <c r="H48" i="14"/>
  <c r="H50" i="14" s="1"/>
  <c r="H51" i="14" s="1"/>
  <c r="H52" i="14" s="1"/>
  <c r="H54" i="14" s="1"/>
  <c r="N47" i="14"/>
  <c r="N50" i="14" s="1"/>
  <c r="N51" i="14" s="1"/>
  <c r="N52" i="14" s="1"/>
  <c r="N54" i="14" s="1"/>
  <c r="I48" i="14"/>
  <c r="I50" i="14" s="1"/>
  <c r="I51" i="14" s="1"/>
  <c r="I52" i="14" s="1"/>
  <c r="I54" i="14" s="1"/>
  <c r="H11" i="7"/>
  <c r="H14" i="7" s="1"/>
  <c r="H19" i="7" s="1"/>
  <c r="H18" i="7" s="1"/>
  <c r="H20" i="7" s="1"/>
  <c r="H22" i="7" s="1"/>
  <c r="G50" i="14"/>
  <c r="G51" i="14" s="1"/>
  <c r="G52" i="14" s="1"/>
  <c r="G54" i="14" s="1"/>
  <c r="R50" i="14"/>
  <c r="R51" i="14" s="1"/>
  <c r="R52" i="14" s="1"/>
  <c r="R54" i="14" s="1"/>
  <c r="P50" i="14"/>
  <c r="P51" i="14" s="1"/>
  <c r="P52" i="14" s="1"/>
  <c r="P54" i="14" s="1"/>
  <c r="O50" i="14"/>
  <c r="O51" i="14" s="1"/>
  <c r="O52" i="14" s="1"/>
  <c r="O54" i="14" s="1"/>
  <c r="F50" i="14"/>
  <c r="F51" i="14" s="1"/>
  <c r="F52" i="14" s="1"/>
  <c r="F54" i="14" s="1"/>
  <c r="J13" i="13"/>
  <c r="K12" i="13"/>
  <c r="R56" i="14" l="1"/>
  <c r="R59" i="14" s="1"/>
  <c r="H28" i="7"/>
  <c r="X202" i="3" s="1"/>
  <c r="H55" i="14"/>
  <c r="H58" i="14" s="1"/>
  <c r="S55" i="14"/>
  <c r="S58" i="14" s="1"/>
  <c r="V55" i="14"/>
  <c r="V58" i="14" s="1"/>
  <c r="Q55" i="14"/>
  <c r="Q58" i="14" s="1"/>
  <c r="R55" i="14"/>
  <c r="R58" i="14" s="1"/>
  <c r="S56" i="14"/>
  <c r="S59" i="14" s="1"/>
  <c r="Q56" i="14"/>
  <c r="Q59" i="14" s="1"/>
  <c r="J56" i="14"/>
  <c r="J59" i="14" s="1"/>
  <c r="K55" i="14"/>
  <c r="K58" i="14" s="1"/>
  <c r="G56" i="14"/>
  <c r="G59" i="14" s="1"/>
  <c r="K56" i="14"/>
  <c r="K59" i="14" s="1"/>
  <c r="M55" i="14"/>
  <c r="M58" i="14" s="1"/>
  <c r="O55" i="14"/>
  <c r="O58" i="14" s="1"/>
  <c r="U56" i="14"/>
  <c r="U59" i="14" s="1"/>
  <c r="F55" i="14"/>
  <c r="F58" i="14" s="1"/>
  <c r="F56" i="14"/>
  <c r="F59" i="14" s="1"/>
  <c r="H56" i="14"/>
  <c r="H59" i="14" s="1"/>
  <c r="I55" i="14"/>
  <c r="I58" i="14" s="1"/>
  <c r="W55" i="14"/>
  <c r="W58" i="14" s="1"/>
  <c r="G55" i="14"/>
  <c r="G58" i="14" s="1"/>
  <c r="T55" i="14"/>
  <c r="T58" i="14" s="1"/>
  <c r="T56" i="14"/>
  <c r="T59" i="14" s="1"/>
  <c r="W56" i="14"/>
  <c r="W59" i="14" s="1"/>
  <c r="X56" i="14"/>
  <c r="X59" i="14" s="1"/>
  <c r="X55" i="14"/>
  <c r="X58" i="14" s="1"/>
  <c r="J55" i="14"/>
  <c r="J58" i="14" s="1"/>
  <c r="V56" i="14"/>
  <c r="V59" i="14" s="1"/>
  <c r="N55" i="14"/>
  <c r="N58" i="14" s="1"/>
  <c r="N56" i="14"/>
  <c r="N59" i="14" s="1"/>
  <c r="L55" i="14"/>
  <c r="L58" i="14" s="1"/>
  <c r="L56" i="14"/>
  <c r="L59" i="14" s="1"/>
  <c r="O56" i="14"/>
  <c r="O59" i="14" s="1"/>
  <c r="P55" i="14"/>
  <c r="P58" i="14" s="1"/>
  <c r="P56" i="14"/>
  <c r="P59" i="14" s="1"/>
  <c r="I56" i="14"/>
  <c r="I59" i="14" s="1"/>
  <c r="U55" i="14"/>
  <c r="U58" i="14" s="1"/>
  <c r="M56" i="14"/>
  <c r="M59" i="14" s="1"/>
  <c r="J14" i="13"/>
  <c r="K13" i="13"/>
  <c r="V218" i="3" l="1"/>
  <c r="V213" i="3"/>
  <c r="V216" i="3"/>
  <c r="V220" i="3"/>
  <c r="V209" i="3"/>
  <c r="V210" i="3"/>
  <c r="V203" i="3"/>
  <c r="V202" i="3"/>
  <c r="V215" i="3"/>
  <c r="V211" i="3"/>
  <c r="V207" i="3"/>
  <c r="V217" i="3"/>
  <c r="V219" i="3"/>
  <c r="V205" i="3"/>
  <c r="V208" i="3"/>
  <c r="V206" i="3"/>
  <c r="V204" i="3"/>
  <c r="V214" i="3"/>
  <c r="V221" i="3"/>
  <c r="V212" i="3"/>
  <c r="F79" i="3"/>
  <c r="F80" i="3" s="1"/>
  <c r="F74" i="1" s="1"/>
  <c r="H40" i="7"/>
  <c r="H39" i="7"/>
  <c r="H41" i="7"/>
  <c r="O215" i="3"/>
  <c r="O216" i="3" s="1"/>
  <c r="O206" i="3"/>
  <c r="O210" i="3"/>
  <c r="I29" i="14"/>
  <c r="J29" i="14" s="1"/>
  <c r="I28" i="14"/>
  <c r="J28" i="14" s="1"/>
  <c r="J15" i="13"/>
  <c r="K14" i="13"/>
  <c r="O209" i="3" l="1"/>
  <c r="O213" i="3"/>
  <c r="O207" i="3"/>
  <c r="O208" i="3"/>
  <c r="O212" i="3"/>
  <c r="O217" i="3"/>
  <c r="O218" i="3"/>
  <c r="O214" i="3"/>
  <c r="O211" i="3"/>
  <c r="O219" i="3"/>
  <c r="J16" i="13"/>
  <c r="K15" i="13"/>
  <c r="J17" i="13" l="1"/>
  <c r="K16" i="13"/>
  <c r="J18" i="13" l="1"/>
  <c r="K17" i="13"/>
  <c r="J19" i="13" l="1"/>
  <c r="K18" i="13"/>
  <c r="J20" i="13" l="1"/>
  <c r="K19" i="13"/>
  <c r="J21" i="13" l="1"/>
  <c r="K20" i="13"/>
  <c r="J22" i="13" l="1"/>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14" i="13"/>
  <c r="K115" i="13" s="1"/>
  <c r="F58" i="3" l="1"/>
  <c r="F60" i="3" s="1"/>
  <c r="F61" i="3" l="1"/>
  <c r="F21" i="3" l="1"/>
  <c r="F25" i="3" l="1"/>
  <c r="F22" i="3"/>
  <c r="F43" i="3" l="1"/>
  <c r="F24" i="3"/>
  <c r="F26" i="3"/>
  <c r="I2" i="13"/>
  <c r="E223" i="3"/>
  <c r="F45" i="3"/>
  <c r="F47" i="3"/>
  <c r="F52" i="3" s="1"/>
  <c r="F35" i="1"/>
  <c r="F38" i="1" s="1"/>
  <c r="AN48" i="1" l="1"/>
  <c r="F27" i="3"/>
  <c r="F89" i="3"/>
  <c r="F193" i="3"/>
  <c r="F64" i="3"/>
  <c r="F53" i="3"/>
  <c r="F194" i="3" s="1"/>
  <c r="F51" i="3"/>
  <c r="F192" i="3" s="1"/>
  <c r="C2" i="13" l="1"/>
  <c r="M111" i="13" s="1"/>
  <c r="AS37" i="1"/>
  <c r="AS29" i="1" s="1"/>
  <c r="F212" i="3"/>
  <c r="F208" i="3"/>
  <c r="F216" i="3"/>
  <c r="F217" i="3"/>
  <c r="F210" i="3"/>
  <c r="F213" i="3"/>
  <c r="F209" i="3"/>
  <c r="F205" i="3"/>
  <c r="F211" i="3"/>
  <c r="F206" i="3"/>
  <c r="F214" i="3"/>
  <c r="F215" i="3"/>
  <c r="F218" i="3"/>
  <c r="F207" i="3"/>
  <c r="F202" i="3"/>
  <c r="F203" i="3"/>
  <c r="F204" i="3"/>
  <c r="M20" i="13"/>
  <c r="M52" i="13"/>
  <c r="M44" i="13"/>
  <c r="M90" i="13"/>
  <c r="M65" i="13"/>
  <c r="M67" i="13"/>
  <c r="M24" i="13"/>
  <c r="M66" i="13"/>
  <c r="M16" i="13"/>
  <c r="M71" i="13"/>
  <c r="M46" i="13"/>
  <c r="M31" i="13"/>
  <c r="M75" i="13"/>
  <c r="M68" i="13"/>
  <c r="M62" i="13"/>
  <c r="M110" i="13"/>
  <c r="M10" i="13"/>
  <c r="M91" i="13"/>
  <c r="M21" i="13"/>
  <c r="M13" i="13"/>
  <c r="M94" i="13"/>
  <c r="M107" i="13"/>
  <c r="M11" i="13"/>
  <c r="M93" i="13"/>
  <c r="M85" i="13"/>
  <c r="M26" i="13"/>
  <c r="M86" i="13"/>
  <c r="M104" i="13"/>
  <c r="M89" i="13"/>
  <c r="M88" i="13"/>
  <c r="M102" i="13"/>
  <c r="M57" i="13"/>
  <c r="M17" i="13"/>
  <c r="M79" i="13"/>
  <c r="M43" i="13"/>
  <c r="M76" i="13"/>
  <c r="M33" i="13"/>
  <c r="M36" i="13"/>
  <c r="M108" i="13"/>
  <c r="M105" i="13"/>
  <c r="M98" i="13"/>
  <c r="M106" i="13"/>
  <c r="M70" i="13"/>
  <c r="M37" i="13"/>
  <c r="M22" i="13"/>
  <c r="M92" i="13"/>
  <c r="M87" i="13"/>
  <c r="M42" i="13"/>
  <c r="M72" i="13"/>
  <c r="M63" i="13"/>
  <c r="M83" i="13"/>
  <c r="M41" i="13"/>
  <c r="M15" i="13"/>
  <c r="M54" i="13"/>
  <c r="M69" i="13"/>
  <c r="M14" i="13"/>
  <c r="M74" i="13"/>
  <c r="M49" i="13"/>
  <c r="M45" i="13"/>
  <c r="M81" i="13"/>
  <c r="M101" i="13"/>
  <c r="M25" i="13"/>
  <c r="M100" i="13"/>
  <c r="M73" i="13"/>
  <c r="M53" i="13"/>
  <c r="M95" i="13"/>
  <c r="M51" i="13"/>
  <c r="M47" i="13"/>
  <c r="M39" i="13"/>
  <c r="M77" i="13"/>
  <c r="M60" i="13"/>
  <c r="M18" i="13"/>
  <c r="M32" i="13"/>
  <c r="M109" i="13"/>
  <c r="M23" i="13"/>
  <c r="M97" i="13"/>
  <c r="M50" i="13"/>
  <c r="M58" i="13"/>
  <c r="M29" i="13"/>
  <c r="M82" i="13"/>
  <c r="M27" i="13"/>
  <c r="M35" i="13"/>
  <c r="M59" i="13"/>
  <c r="M78" i="13"/>
  <c r="M12" i="13"/>
  <c r="M64" i="13"/>
  <c r="M55" i="13"/>
  <c r="M38" i="13"/>
  <c r="M61" i="13"/>
  <c r="M99" i="13"/>
  <c r="M84" i="13"/>
  <c r="M103" i="13"/>
  <c r="M48" i="13"/>
  <c r="M19" i="13"/>
  <c r="M96" i="13"/>
  <c r="M56" i="13"/>
  <c r="M34" i="13"/>
  <c r="M80" i="13"/>
  <c r="M40" i="13"/>
  <c r="M28" i="13"/>
  <c r="M30" i="13"/>
  <c r="M113" i="13" l="1"/>
  <c r="M114" i="13"/>
  <c r="M112" i="13"/>
  <c r="AS35" i="1"/>
  <c r="B203" i="3"/>
  <c r="K203" i="3"/>
  <c r="T203" i="3" s="1"/>
  <c r="G203" i="3"/>
  <c r="L203" i="3" s="1"/>
  <c r="U203" i="3" s="1"/>
  <c r="E203" i="3"/>
  <c r="J203" i="3" s="1"/>
  <c r="S203" i="3" s="1"/>
  <c r="B205" i="3"/>
  <c r="G205" i="3"/>
  <c r="L205" i="3" s="1"/>
  <c r="U205" i="3" s="1"/>
  <c r="E205" i="3"/>
  <c r="J205" i="3" s="1"/>
  <c r="S205" i="3" s="1"/>
  <c r="K205" i="3"/>
  <c r="T205" i="3" s="1"/>
  <c r="K202" i="3"/>
  <c r="T202" i="3" s="1"/>
  <c r="E202" i="3"/>
  <c r="J202" i="3" s="1"/>
  <c r="S202" i="3" s="1"/>
  <c r="B202" i="3"/>
  <c r="G202" i="3"/>
  <c r="L202" i="3" s="1"/>
  <c r="U202" i="3" s="1"/>
  <c r="B209" i="3"/>
  <c r="G209" i="3"/>
  <c r="L209" i="3" s="1"/>
  <c r="U209" i="3" s="1"/>
  <c r="K209" i="3"/>
  <c r="T209" i="3" s="1"/>
  <c r="E209" i="3"/>
  <c r="J209" i="3" s="1"/>
  <c r="S209" i="3" s="1"/>
  <c r="K207" i="3"/>
  <c r="T207" i="3" s="1"/>
  <c r="G207" i="3"/>
  <c r="L207" i="3" s="1"/>
  <c r="U207" i="3" s="1"/>
  <c r="B207" i="3"/>
  <c r="E207" i="3"/>
  <c r="J207" i="3" s="1"/>
  <c r="S207" i="3" s="1"/>
  <c r="E213" i="3"/>
  <c r="J213" i="3" s="1"/>
  <c r="S213" i="3" s="1"/>
  <c r="B213" i="3"/>
  <c r="G213" i="3"/>
  <c r="L213" i="3" s="1"/>
  <c r="U213" i="3" s="1"/>
  <c r="K213" i="3"/>
  <c r="T213" i="3" s="1"/>
  <c r="G218" i="3"/>
  <c r="L218" i="3" s="1"/>
  <c r="U218" i="3" s="1"/>
  <c r="K218" i="3"/>
  <c r="T218" i="3" s="1"/>
  <c r="E218" i="3"/>
  <c r="J218" i="3" s="1"/>
  <c r="S218" i="3" s="1"/>
  <c r="B218" i="3"/>
  <c r="B210" i="3"/>
  <c r="E210" i="3"/>
  <c r="J210" i="3" s="1"/>
  <c r="S210" i="3" s="1"/>
  <c r="K210" i="3"/>
  <c r="T210" i="3" s="1"/>
  <c r="G210" i="3"/>
  <c r="L210" i="3" s="1"/>
  <c r="U210" i="3" s="1"/>
  <c r="G215" i="3"/>
  <c r="L215" i="3" s="1"/>
  <c r="U215" i="3" s="1"/>
  <c r="B215" i="3"/>
  <c r="E215" i="3"/>
  <c r="J215" i="3" s="1"/>
  <c r="S215" i="3" s="1"/>
  <c r="K215" i="3"/>
  <c r="T215" i="3" s="1"/>
  <c r="E217" i="3"/>
  <c r="J217" i="3" s="1"/>
  <c r="S217" i="3" s="1"/>
  <c r="G217" i="3"/>
  <c r="L217" i="3" s="1"/>
  <c r="U217" i="3" s="1"/>
  <c r="K217" i="3"/>
  <c r="T217" i="3" s="1"/>
  <c r="B217" i="3"/>
  <c r="N4" i="13"/>
  <c r="B214" i="3"/>
  <c r="E214" i="3"/>
  <c r="J214" i="3" s="1"/>
  <c r="S214" i="3" s="1"/>
  <c r="K214" i="3"/>
  <c r="T214" i="3" s="1"/>
  <c r="G214" i="3"/>
  <c r="L214" i="3" s="1"/>
  <c r="U214" i="3" s="1"/>
  <c r="K216" i="3"/>
  <c r="T216" i="3" s="1"/>
  <c r="E216" i="3"/>
  <c r="J216" i="3" s="1"/>
  <c r="S216" i="3" s="1"/>
  <c r="B216" i="3"/>
  <c r="G216" i="3"/>
  <c r="L216" i="3" s="1"/>
  <c r="U216" i="3" s="1"/>
  <c r="G206" i="3"/>
  <c r="L206" i="3" s="1"/>
  <c r="U206" i="3" s="1"/>
  <c r="B206" i="3"/>
  <c r="K206" i="3"/>
  <c r="T206" i="3" s="1"/>
  <c r="E206" i="3"/>
  <c r="J206" i="3" s="1"/>
  <c r="S206" i="3" s="1"/>
  <c r="E208" i="3"/>
  <c r="J208" i="3" s="1"/>
  <c r="S208" i="3" s="1"/>
  <c r="K208" i="3"/>
  <c r="T208" i="3" s="1"/>
  <c r="B208" i="3"/>
  <c r="G208" i="3"/>
  <c r="L208" i="3" s="1"/>
  <c r="U208" i="3" s="1"/>
  <c r="G204" i="3"/>
  <c r="L204" i="3" s="1"/>
  <c r="U204" i="3" s="1"/>
  <c r="B204" i="3"/>
  <c r="K204" i="3"/>
  <c r="T204" i="3" s="1"/>
  <c r="E204" i="3"/>
  <c r="J204" i="3" s="1"/>
  <c r="S204" i="3" s="1"/>
  <c r="K211" i="3"/>
  <c r="T211" i="3" s="1"/>
  <c r="E211" i="3"/>
  <c r="J211" i="3" s="1"/>
  <c r="S211" i="3" s="1"/>
  <c r="B211" i="3"/>
  <c r="G211" i="3"/>
  <c r="L211" i="3" s="1"/>
  <c r="U211" i="3" s="1"/>
  <c r="E212" i="3"/>
  <c r="J212" i="3" s="1"/>
  <c r="S212" i="3" s="1"/>
  <c r="B212" i="3"/>
  <c r="G212" i="3"/>
  <c r="L212" i="3" s="1"/>
  <c r="U212" i="3" s="1"/>
  <c r="K212" i="3"/>
  <c r="T2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Vashisht, Kartik</author>
    <author>a0272042</author>
    <author>Alex Triano</author>
    <author>TI User</author>
    <author>bdemsc</author>
  </authors>
  <commentList>
    <comment ref="F14" authorId="0" shapeId="0" xr:uid="{00000000-0006-0000-0100-000001000000}">
      <text>
        <r>
          <rPr>
            <b/>
            <sz val="8"/>
            <color indexed="81"/>
            <rFont val="Tahoma"/>
            <family val="2"/>
          </rPr>
          <t>The minimum system voltage must be no less than 3V.
(This voltage is normal condition voltage excluding reverse battery condition)</t>
        </r>
      </text>
    </comment>
    <comment ref="F16" authorId="0" shapeId="0" xr:uid="{00000000-0006-0000-0100-000002000000}">
      <text>
        <r>
          <rPr>
            <b/>
            <sz val="8"/>
            <color indexed="81"/>
            <rFont val="Tahoma"/>
            <family val="2"/>
          </rPr>
          <t>The maximum system voltage must be no greater than 65V.
(This voltage is normal condition voltage excluding transients)</t>
        </r>
      </text>
    </comment>
    <comment ref="F18" authorId="0" shapeId="0" xr:uid="{00000000-0006-0000-0100-000003000000}">
      <text>
        <r>
          <rPr>
            <b/>
            <sz val="8"/>
            <color indexed="81"/>
            <rFont val="Tahoma"/>
            <family val="2"/>
          </rPr>
          <t xml:space="preserve">This is the capacitance at Vout. This should not be zero. A minimum of 100 </t>
        </r>
        <r>
          <rPr>
            <b/>
            <sz val="8"/>
            <color indexed="81"/>
            <rFont val="Arial"/>
            <family val="2"/>
          </rPr>
          <t>n</t>
        </r>
        <r>
          <rPr>
            <b/>
            <sz val="8"/>
            <color indexed="81"/>
            <rFont val="Tahoma"/>
            <family val="2"/>
          </rPr>
          <t>F is recommended.</t>
        </r>
      </text>
    </comment>
    <comment ref="F23" authorId="1" shapeId="0" xr:uid="{F8166991-100C-4B7E-900F-EDF7CF4C0DAE}">
      <text>
        <r>
          <rPr>
            <b/>
            <sz val="9"/>
            <color indexed="81"/>
            <rFont val="Tahoma"/>
            <family val="2"/>
          </rPr>
          <t xml:space="preserve">Min current limit has to be greater than max load current
</t>
        </r>
      </text>
    </comment>
    <comment ref="F24" authorId="1" shapeId="0" xr:uid="{DFDDF1E0-CA55-403A-BB90-C153699B19C0}">
      <text>
        <r>
          <rPr>
            <b/>
            <sz val="9"/>
            <color indexed="81"/>
            <rFont val="Tahoma"/>
            <family val="2"/>
          </rPr>
          <t xml:space="preserve">Value depends on Rsense, should not be less than 20mV/Rsense </t>
        </r>
      </text>
    </comment>
    <comment ref="F29" authorId="1" shapeId="0" xr:uid="{40F3999C-44EE-4B8C-ABEC-59F335AB1338}">
      <text>
        <r>
          <rPr>
            <b/>
            <sz val="9"/>
            <color indexed="81"/>
            <rFont val="Tahoma"/>
            <family val="2"/>
          </rPr>
          <t xml:space="preserve">Recommended range is 50 to 100 ohm
</t>
        </r>
      </text>
    </comment>
    <comment ref="F32" authorId="2" shapeId="0" xr:uid="{00000000-0006-0000-0100-000008000000}">
      <text>
        <r>
          <rPr>
            <b/>
            <sz val="9"/>
            <color indexed="81"/>
            <rFont val="Tahoma"/>
            <family val="2"/>
          </rPr>
          <t xml:space="preserve">Ensure that the minimum current limit is above maximum load. </t>
        </r>
      </text>
    </comment>
    <comment ref="F48" authorId="3" shapeId="0" xr:uid="{00000000-0006-0000-0100-00000C000000}">
      <text>
        <r>
          <rPr>
            <b/>
            <sz val="9"/>
            <color indexed="81"/>
            <rFont val="Tahoma"/>
            <family val="2"/>
          </rPr>
          <t xml:space="preserve">Note that this parameter is heavily dependent on the board layout and amount of copper connected to the Drain of the FET. 
The TI EVM is ~40C / W number and is a good starting point. It's recommended to measure this value again once the boards are built and plugging this back into the calculator. 
</t>
        </r>
      </text>
    </comment>
    <comment ref="F50" authorId="2" shapeId="0" xr:uid="{00000000-0006-0000-0100-00000D000000}">
      <text>
        <r>
          <rPr>
            <b/>
            <sz val="9"/>
            <color indexed="81"/>
            <rFont val="Tahoma"/>
            <family val="2"/>
          </rPr>
          <t>This number may need to be adjusted iteratively.</t>
        </r>
        <r>
          <rPr>
            <sz val="9"/>
            <color indexed="81"/>
            <rFont val="Tahoma"/>
            <family val="2"/>
          </rPr>
          <t xml:space="preserve">
</t>
        </r>
      </text>
    </comment>
    <comment ref="F58" authorId="2" shapeId="0" xr:uid="{00000000-0006-0000-0100-00000E000000}">
      <text>
        <r>
          <rPr>
            <sz val="9"/>
            <color indexed="81"/>
            <rFont val="Tahoma"/>
            <family val="2"/>
          </rPr>
          <t xml:space="preserve">If FET temperature is too high, increase the # of FETs, reduce the load, or reduce the RθJA by adding more heat sinking to MOSFETs. 
</t>
        </r>
      </text>
    </comment>
    <comment ref="I64" authorId="4" shapeId="0" xr:uid="{00000000-0006-0000-0100-000011000000}">
      <text>
        <r>
          <rPr>
            <sz val="8"/>
            <color indexed="81"/>
            <rFont val="Tahoma"/>
            <family val="2"/>
          </rPr>
          <t xml:space="preserve">3 Parameters:
Step 1: Max Ambrient Operating Temperature 
Step 3: Estimated MOSFET RQJA
Step 3: FET Power Dissipation at full load 
**This includes air flow
</t>
        </r>
      </text>
    </comment>
    <comment ref="F66" authorId="5" shapeId="0" xr:uid="{00000000-0006-0000-0100-000012000000}">
      <text>
        <r>
          <rPr>
            <b/>
            <sz val="8"/>
            <color indexed="81"/>
            <rFont val="Tahoma"/>
            <family val="2"/>
          </rPr>
          <t>Select if the load will draw current during start-up. 
For no Load, choose constant current and set to zero</t>
        </r>
      </text>
    </comment>
    <comment ref="F68" authorId="5" shapeId="0" xr:uid="{00000000-0006-0000-0100-000013000000}">
      <text>
        <r>
          <rPr>
            <b/>
            <sz val="8"/>
            <color indexed="81"/>
            <rFont val="Tahoma"/>
            <family val="2"/>
          </rPr>
          <t xml:space="preserve">Yes or No.  
DV/DT control can be useful in high current applications or applications were COUT is large.
</t>
        </r>
      </text>
    </comment>
    <comment ref="F72" authorId="2" shapeId="0" xr:uid="{00000000-0006-0000-0100-00001C000000}">
      <text>
        <r>
          <rPr>
            <b/>
            <sz val="9"/>
            <color indexed="81"/>
            <rFont val="Tahoma"/>
            <family val="2"/>
          </rPr>
          <t>Ensure that this is lower than max ss slew rate.</t>
        </r>
      </text>
    </comment>
    <comment ref="F73" authorId="1" shapeId="0" xr:uid="{8C55EF09-5B26-43B0-A394-29820E4E34F7}">
      <text>
        <r>
          <rPr>
            <b/>
            <sz val="9"/>
            <color indexed="81"/>
            <rFont val="Tahoma"/>
            <family val="2"/>
          </rPr>
          <t>Should be less than the user specified Inrush current value, vary the slew rate and SS Capacitor to get it below max value</t>
        </r>
      </text>
    </comment>
    <comment ref="F74" authorId="2" shapeId="0" xr:uid="{00000000-0006-0000-0100-00001D000000}">
      <text>
        <r>
          <rPr>
            <sz val="9"/>
            <color indexed="81"/>
            <rFont val="Tahoma"/>
            <family val="2"/>
          </rPr>
          <t>A margin of &gt;1.1 is required and a margin of &gt;1.3 is recommended to account for the variation in the gate current. 
Reduce dv/dt rate to reduce inrush current and increase SOA margin</t>
        </r>
      </text>
    </comment>
    <comment ref="F79" authorId="5" shapeId="0" xr:uid="{00000000-0006-0000-0100-000020000000}">
      <text>
        <r>
          <rPr>
            <b/>
            <sz val="8"/>
            <color indexed="81"/>
            <rFont val="Tahoma"/>
            <family val="2"/>
          </rPr>
          <t>See the schematics on the right to select the appropriate option for setting the input voltage UVLO and OVLO thresholds.</t>
        </r>
      </text>
    </comment>
    <comment ref="F80" authorId="0" shapeId="0" xr:uid="{00000000-0006-0000-0100-000021000000}">
      <text>
        <r>
          <rPr>
            <b/>
            <sz val="8"/>
            <color indexed="81"/>
            <rFont val="Tahoma"/>
            <family val="2"/>
          </rPr>
          <t>This threshold must be between 3V and 65V.</t>
        </r>
      </text>
    </comment>
    <comment ref="F82" authorId="0" shapeId="0" xr:uid="{00000000-0006-0000-0100-000023000000}">
      <text>
        <r>
          <rPr>
            <b/>
            <sz val="8"/>
            <color indexed="81"/>
            <rFont val="Tahoma"/>
            <family val="2"/>
          </rPr>
          <t>This threshold must be greater than the UVLO Threshold, and less than 65V.</t>
        </r>
      </text>
    </comment>
    <comment ref="F118" authorId="3" shapeId="0" xr:uid="{00000000-0006-0000-0100-000024000000}">
      <text>
        <r>
          <rPr>
            <sz val="9"/>
            <color indexed="81"/>
            <rFont val="Tahoma"/>
            <family val="2"/>
          </rPr>
          <t xml:space="preserve">TI recommended. Same as EVM
</t>
        </r>
      </text>
    </comment>
    <comment ref="F119" authorId="3" shapeId="0" xr:uid="{00000000-0006-0000-0100-000025000000}">
      <text>
        <r>
          <rPr>
            <sz val="9"/>
            <color indexed="81"/>
            <rFont val="Tahoma"/>
            <family val="2"/>
          </rPr>
          <t xml:space="preserve">TI recomends the SMBJxx TVS, which are used on the EVM. 
Pick the proper value based on the input voltage.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bdemsc</author>
  </authors>
  <commentList>
    <comment ref="C39" authorId="0" shapeId="0" xr:uid="{00000000-0006-0000-0500-000001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H39" authorId="0" shapeId="0" xr:uid="{3E60E5E3-414E-4DEC-A18D-30DB69B92CD3}">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shapeId="0" xr:uid="{00000000-0006-0000-0500-000002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H40" authorId="0" shapeId="0" xr:uid="{E17E537B-A53D-4C98-98BF-FC59F876C2E5}">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shapeId="0" xr:uid="{00000000-0006-0000-0500-000003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H41" authorId="0" shapeId="0" xr:uid="{47E5052C-6734-4D21-87C6-1FE1D3D6A518}">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<sst xmlns="http://schemas.openxmlformats.org/spreadsheetml/2006/main" count="696" uniqueCount="481">
  <si>
    <t>Max Rs =</t>
  </si>
  <si>
    <t>Min. Current limit =</t>
  </si>
  <si>
    <t>Typ. Current limit =</t>
  </si>
  <si>
    <t>Max. Current limit =</t>
  </si>
  <si>
    <t>Rs Power Diss. =</t>
  </si>
  <si>
    <t>Resulting Typical Power Limit =</t>
  </si>
  <si>
    <t>Resulting Minimum Power Limit =</t>
  </si>
  <si>
    <t>Resulting Maximum Power Limit =</t>
  </si>
  <si>
    <t>ms</t>
  </si>
  <si>
    <t>(V)</t>
  </si>
  <si>
    <t>(A)</t>
  </si>
  <si>
    <t>Typ. Insertion time =</t>
  </si>
  <si>
    <t>Typ. Restart time =</t>
  </si>
  <si>
    <t>R1 =</t>
  </si>
  <si>
    <t>R2 =</t>
  </si>
  <si>
    <t>R3 =</t>
  </si>
  <si>
    <t>R4 =</t>
  </si>
  <si>
    <t xml:space="preserve">   24% tolerance used in this calculation.</t>
  </si>
  <si>
    <t xml:space="preserve">  10% margin added in this calculation</t>
  </si>
  <si>
    <r>
      <t>C</t>
    </r>
    <r>
      <rPr>
        <vertAlign val="subscript"/>
        <sz val="10"/>
        <rFont val="Arial"/>
        <family val="2"/>
      </rPr>
      <t>T</t>
    </r>
    <r>
      <rPr>
        <sz val="10"/>
        <rFont val="Arial"/>
        <family val="2"/>
      </rPr>
      <t xml:space="preserve"> =</t>
    </r>
  </si>
  <si>
    <t>Notes:</t>
  </si>
  <si>
    <t>Option A</t>
  </si>
  <si>
    <t>Option B</t>
  </si>
  <si>
    <t>Select Option A or Option B</t>
  </si>
  <si>
    <t>R2</t>
  </si>
  <si>
    <t>R3</t>
  </si>
  <si>
    <t>R4</t>
  </si>
  <si>
    <t>A</t>
  </si>
  <si>
    <t>B</t>
  </si>
  <si>
    <t>UVLO upper is F40</t>
  </si>
  <si>
    <t xml:space="preserve">R3 = </t>
  </si>
  <si>
    <t xml:space="preserve">R2 = </t>
  </si>
  <si>
    <t xml:space="preserve">R1 = </t>
  </si>
  <si>
    <t xml:space="preserve">R4 = </t>
  </si>
  <si>
    <t>R1 is F48</t>
  </si>
  <si>
    <t>Resulting Thresholds:</t>
  </si>
  <si>
    <r>
      <t>C</t>
    </r>
    <r>
      <rPr>
        <vertAlign val="subscript"/>
        <sz val="10"/>
        <rFont val="Arial"/>
        <family val="2"/>
      </rPr>
      <t>IN</t>
    </r>
    <r>
      <rPr>
        <sz val="10"/>
        <rFont val="Arial"/>
        <family val="2"/>
      </rPr>
      <t xml:space="preserve"> = </t>
    </r>
  </si>
  <si>
    <r>
      <t>V</t>
    </r>
    <r>
      <rPr>
        <b/>
        <vertAlign val="subscript"/>
        <sz val="10"/>
        <rFont val="Arial"/>
        <family val="2"/>
      </rPr>
      <t>DS</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</si>
  <si>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</si>
  <si>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</si>
  <si>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</si>
  <si>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</si>
  <si>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</si>
  <si>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</si>
  <si>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</si>
  <si>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</si>
  <si>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</si>
  <si>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</si>
  <si>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</si>
  <si>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</si>
  <si>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</si>
  <si>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</si>
  <si>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</si>
  <si>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</si>
  <si>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</si>
  <si>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</si>
  <si>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</si>
  <si>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</si>
  <si>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</si>
  <si>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</si>
  <si>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</si>
  <si>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</si>
  <si>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</si>
  <si>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</si>
  <si>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</si>
  <si>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</si>
  <si>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</si>
  <si>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</si>
  <si>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</si>
  <si>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</si>
  <si>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</si>
  <si>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</si>
  <si>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</si>
  <si>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Minimum Current Limit</t>
  </si>
  <si>
    <t>Resulting Typical Current Limit</t>
  </si>
  <si>
    <t>Resulting Maximum Current Limit</t>
  </si>
  <si>
    <t xml:space="preserve">Enter the Resistance for R1 </t>
  </si>
  <si>
    <t xml:space="preserve">Enter the Resistance for R2 </t>
  </si>
  <si>
    <t xml:space="preserve">Enter the Resistance for R3 </t>
  </si>
  <si>
    <t xml:space="preserve">Enter the Resistance for R4 </t>
  </si>
  <si>
    <t>2. A TVS clamp from VIN to GND is absolutely mandatory to clamp the voltage overshoot upon MOSFET turn-off, e.g. during circuit breaker</t>
  </si>
  <si>
    <r>
      <t>I</t>
    </r>
    <r>
      <rPr>
        <b/>
        <vertAlign val="subscript"/>
        <sz val="10"/>
        <rFont val="Arial"/>
        <family val="2"/>
      </rPr>
      <t>D</t>
    </r>
  </si>
  <si>
    <t>Ramp time for output voltage</t>
  </si>
  <si>
    <t>Nominal output voltage</t>
  </si>
  <si>
    <t>Required soft-start capacitance</t>
  </si>
  <si>
    <t>nF</t>
  </si>
  <si>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</si>
  <si>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</si>
  <si>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</si>
  <si>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</si>
  <si>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</si>
  <si>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</si>
  <si>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</si>
  <si>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</si>
  <si>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</si>
  <si>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</si>
  <si>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</si>
  <si>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</si>
  <si>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</si>
  <si>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</si>
  <si>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</si>
  <si>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</si>
  <si>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</si>
  <si>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</si>
  <si>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</si>
  <si>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</si>
  <si>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</si>
  <si>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</si>
  <si>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</si>
  <si>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</si>
  <si>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</si>
  <si>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</si>
  <si>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</si>
  <si>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</si>
  <si>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</si>
  <si>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</si>
  <si>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</si>
  <si>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</si>
  <si>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</si>
  <si>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</si>
  <si>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</si>
  <si>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</si>
  <si>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</si>
  <si>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</si>
  <si>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</si>
  <si>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</si>
  <si>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</si>
  <si>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</si>
  <si>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</si>
  <si>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</si>
  <si>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</si>
  <si>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</si>
  <si>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</si>
  <si>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</si>
  <si>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</si>
  <si>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</si>
  <si>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</si>
  <si>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</si>
  <si>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</si>
  <si>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</si>
  <si>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</si>
  <si>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</si>
  <si>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</si>
  <si>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</si>
  <si>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</si>
  <si>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</si>
  <si>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</si>
  <si>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</si>
  <si>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</si>
  <si>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</si>
  <si>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</si>
  <si>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</si>
  <si>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</si>
  <si>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</si>
  <si>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</si>
  <si>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</si>
  <si>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</si>
  <si>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</si>
  <si>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</si>
  <si>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</si>
  <si>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</si>
  <si>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</si>
  <si>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</si>
  <si>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t>V/S</t>
  </si>
  <si>
    <t>Gate Sourcing Current</t>
  </si>
  <si>
    <t>CLMAX =</t>
  </si>
  <si>
    <t xml:space="preserve">CLNOM = </t>
  </si>
  <si>
    <t>CLMIN =</t>
  </si>
  <si>
    <t>RCL1 Recommended  =</t>
  </si>
  <si>
    <t>RCL2 Recommmended =</t>
  </si>
  <si>
    <t>Effective Rs =</t>
  </si>
  <si>
    <t>Step 5: UVLO, OVLO &amp; PGD Thresholds</t>
  </si>
  <si>
    <t>Design Summary</t>
  </si>
  <si>
    <t>100us</t>
  </si>
  <si>
    <t>Step 2: Current Limit and Circuit Breaker</t>
  </si>
  <si>
    <t>1.8 x Threshold</t>
  </si>
  <si>
    <t>1.8x CB:CL Ratio</t>
  </si>
  <si>
    <t>3.6 x Threshold</t>
  </si>
  <si>
    <t>3.6x CB:CL Ratio</t>
  </si>
  <si>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</si>
  <si>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</si>
  <si>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</si>
  <si>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</si>
  <si>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</si>
  <si>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</si>
  <si>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</si>
  <si>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</si>
  <si>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</si>
  <si>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</si>
  <si>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</si>
  <si>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</si>
  <si>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</si>
  <si>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</si>
  <si>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</si>
  <si>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</si>
  <si>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</si>
  <si>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</si>
  <si>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</si>
  <si>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</si>
  <si>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</si>
  <si>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</si>
  <si>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</si>
  <si>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Recommended Resistance for:  R1</t>
  </si>
  <si>
    <r>
      <t>Estimated MOSFET R</t>
    </r>
    <r>
      <rPr>
        <sz val="10"/>
        <rFont val="Symbol"/>
        <family val="1"/>
        <charset val="2"/>
      </rPr>
      <t>Q</t>
    </r>
    <r>
      <rPr>
        <vertAlign val="subscript"/>
        <sz val="10"/>
        <rFont val="Arial"/>
        <family val="2"/>
      </rPr>
      <t>JA</t>
    </r>
  </si>
  <si>
    <t>Values Used</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</si>
  <si>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</si>
  <si>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</si>
  <si>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</si>
  <si>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</si>
  <si>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</si>
  <si>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</si>
  <si>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</si>
  <si>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Plim (Vds) = 1/Rs * [ Rpwr/A + Vds * Vos, syst]</t>
  </si>
  <si>
    <t xml:space="preserve">Example: </t>
  </si>
  <si>
    <t>Rpwr</t>
  </si>
  <si>
    <t>Plim</t>
  </si>
  <si>
    <t>Rsns (m-ohm)</t>
  </si>
  <si>
    <t>Vsns (mV)</t>
  </si>
  <si>
    <t>Rpwr =  A * [PLIM(Vds) * Rs - Vds*Vos,syst]</t>
  </si>
  <si>
    <t xml:space="preserve">Key Equations: </t>
  </si>
  <si>
    <t>How Plim varries vs Vds:</t>
  </si>
  <si>
    <t>Plim (Vds) = Plim (Vin,max) + (Vds - Vin,max)*Vos,syst/Rs</t>
  </si>
  <si>
    <t>Ex: Plim @ 13V = 100W, Rs = 0.5; Plim @ (Vds = 5V) = 100W - 7V * 1mV/0.5mili-ohm = 100W - 14W = 86W</t>
  </si>
  <si>
    <t>Target PLIM</t>
  </si>
  <si>
    <t>k-ohm</t>
  </si>
  <si>
    <t>Rpwr actual</t>
  </si>
  <si>
    <t>Final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</si>
  <si>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</si>
  <si>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</si>
  <si>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</si>
  <si>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</si>
  <si>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</si>
  <si>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</si>
  <si>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</si>
  <si>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</si>
  <si>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</si>
  <si>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</si>
  <si>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</si>
  <si>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</si>
  <si>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</si>
  <si>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</si>
  <si>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</si>
  <si>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t>
  </si>
  <si>
    <t>Start-slop</t>
  </si>
  <si>
    <t>Target Fault Timer</t>
  </si>
  <si>
    <t>Target Timer capacitance</t>
  </si>
  <si>
    <t>Selected Timer capacitance</t>
  </si>
  <si>
    <t>Final Fault Timer</t>
  </si>
  <si>
    <t>Note: I added an adjustment for the systematic offset</t>
  </si>
  <si>
    <t>Vos syst</t>
  </si>
  <si>
    <t>Rs (ohm)</t>
  </si>
  <si>
    <t>Vin, max</t>
  </si>
  <si>
    <t>Plim tolerance</t>
  </si>
  <si>
    <t>Temp Derated SOA</t>
  </si>
  <si>
    <t>SOA / 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</si>
  <si>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</si>
  <si>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</si>
  <si>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</si>
  <si>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</si>
  <si>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</si>
  <si>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</si>
  <si>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</si>
  <si>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</si>
  <si>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</si>
  <si>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</si>
  <si>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</si>
  <si>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</si>
  <si>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</si>
  <si>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</si>
  <si>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</si>
  <si>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</si>
  <si>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</si>
  <si>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</si>
  <si>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</si>
  <si>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</si>
  <si>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</si>
  <si>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</si>
  <si>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</si>
  <si>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</si>
  <si>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</si>
  <si>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</si>
  <si>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</si>
  <si>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</si>
  <si>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</si>
  <si>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</si>
  <si>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</si>
  <si>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</si>
  <si>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</si>
  <si>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</si>
  <si>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</si>
  <si>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</si>
  <si>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</si>
  <si>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</si>
  <si>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SOA Check - Based on Timer</t>
  </si>
  <si>
    <t>timer_constant</t>
  </si>
  <si>
    <t>Enter Values in Green Shaded Cells</t>
  </si>
  <si>
    <t>1s/DC</t>
  </si>
  <si>
    <t>Temp for derating</t>
  </si>
  <si>
    <t>board hot?</t>
  </si>
  <si>
    <t>FET_Energy</t>
  </si>
  <si>
    <t>Tiime (ms)</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</si>
  <si>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</si>
  <si>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</si>
  <si>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</si>
  <si>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</si>
  <si>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</si>
  <si>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</si>
  <si>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</si>
  <si>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</si>
  <si>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</si>
  <si>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</si>
  <si>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</si>
  <si>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</si>
  <si>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</si>
  <si>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</si>
  <si>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</si>
  <si>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</si>
  <si>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</si>
  <si>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</si>
  <si>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</si>
  <si>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</si>
  <si>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</si>
  <si>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</si>
  <si>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</si>
  <si>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</si>
  <si>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</si>
  <si>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</si>
  <si>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</si>
  <si>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</si>
  <si>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</si>
  <si>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</si>
  <si>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</si>
  <si>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</si>
  <si>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</si>
  <si>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</si>
  <si>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</si>
  <si>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</si>
  <si>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</si>
  <si>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</si>
  <si>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</si>
  <si>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</si>
  <si>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</si>
  <si>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</si>
  <si>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</si>
  <si>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</si>
  <si>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</si>
  <si>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</si>
  <si>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</si>
  <si>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</si>
  <si>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</si>
  <si>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</si>
  <si>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</si>
  <si>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</si>
  <si>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</si>
  <si>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</si>
  <si>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</si>
  <si>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</si>
  <si>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</si>
  <si>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</si>
  <si>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</si>
  <si>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</si>
  <si>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</si>
  <si>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</si>
  <si>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</si>
  <si>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</si>
  <si>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</si>
  <si>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Note: TI recommends choosing a FET with SOA current specified for 100ms and/or 1s or DC. If choosing a FET without these parameters, this calculator will estimate the values via extrapolation, which leaves an inherent associated risk.</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</si>
  <si>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</si>
  <si>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</si>
  <si>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</si>
  <si>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</si>
  <si>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</si>
  <si>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</si>
  <si>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</si>
  <si>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</si>
  <si>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</si>
  <si>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MOSFET's SOA</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</si>
  <si>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</si>
  <si>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r>
      <t>C</t>
    </r>
    <r>
      <rPr>
        <vertAlign val="subscript"/>
        <sz val="10"/>
        <rFont val="Arial"/>
        <family val="2"/>
      </rPr>
      <t>dv/dt</t>
    </r>
    <r>
      <rPr>
        <sz val="10"/>
        <rFont val="Arial"/>
        <family val="2"/>
      </rPr>
      <t xml:space="preserve"> =</t>
    </r>
  </si>
  <si>
    <t>Q1 =</t>
  </si>
  <si>
    <t>Q2 =</t>
  </si>
  <si>
    <t>Z1 =</t>
  </si>
  <si>
    <r>
      <rPr>
        <b/>
        <u/>
        <sz val="9"/>
        <color rgb="FFFF0000"/>
        <rFont val="Arial"/>
        <family val="2"/>
      </rPr>
      <t>Note:</t>
    </r>
    <r>
      <rPr>
        <b/>
        <sz val="9"/>
        <color rgb="FFFF0000"/>
        <rFont val="Arial"/>
        <family val="2"/>
      </rPr>
      <t xml:space="preserve"> Hover here to see the 3 values affecting this curve, consult a thermal expert if you are unsure! </t>
    </r>
  </si>
  <si>
    <t>Inrush Current</t>
  </si>
  <si>
    <t>mA</t>
  </si>
  <si>
    <r>
      <t>SCP Threshold R</t>
    </r>
    <r>
      <rPr>
        <sz val="7"/>
        <rFont val="Arial"/>
        <family val="2"/>
      </rPr>
      <t>ISCP</t>
    </r>
    <r>
      <rPr>
        <sz val="10"/>
        <rFont val="Arial"/>
        <family val="2"/>
      </rPr>
      <t>=0</t>
    </r>
  </si>
  <si>
    <r>
      <t>SCP Threshold for given R</t>
    </r>
    <r>
      <rPr>
        <sz val="7"/>
        <rFont val="Arial"/>
        <family val="2"/>
      </rPr>
      <t>ISCP</t>
    </r>
  </si>
  <si>
    <r>
      <t>R</t>
    </r>
    <r>
      <rPr>
        <sz val="6"/>
        <rFont val="Arial"/>
        <family val="2"/>
      </rPr>
      <t>ILIM</t>
    </r>
    <r>
      <rPr>
        <sz val="10"/>
        <rFont val="Arial"/>
        <family val="2"/>
      </rPr>
      <t>=</t>
    </r>
  </si>
  <si>
    <r>
      <t>R</t>
    </r>
    <r>
      <rPr>
        <sz val="6"/>
        <rFont val="Arial"/>
        <family val="2"/>
      </rPr>
      <t>IMON</t>
    </r>
    <r>
      <rPr>
        <sz val="10"/>
        <rFont val="Arial"/>
        <family val="2"/>
      </rPr>
      <t>=</t>
    </r>
  </si>
  <si>
    <r>
      <t>C</t>
    </r>
    <r>
      <rPr>
        <sz val="6"/>
        <rFont val="Arial"/>
        <family val="2"/>
      </rPr>
      <t>TMR</t>
    </r>
    <r>
      <rPr>
        <sz val="10"/>
        <rFont val="Arial"/>
        <family val="2"/>
      </rPr>
      <t>=</t>
    </r>
  </si>
  <si>
    <t>DELAY TIMER</t>
  </si>
  <si>
    <t>TMR source current</t>
  </si>
  <si>
    <t xml:space="preserve">TMR sink current </t>
  </si>
  <si>
    <t>Voltage at TMR pin for IWRN shut off</t>
  </si>
  <si>
    <t>Auto Retry Time</t>
  </si>
  <si>
    <r>
      <t>T</t>
    </r>
    <r>
      <rPr>
        <sz val="6"/>
        <rFont val="Arial"/>
        <family val="2"/>
      </rPr>
      <t>retry</t>
    </r>
    <r>
      <rPr>
        <sz val="10"/>
        <rFont val="Arial"/>
        <family val="2"/>
      </rPr>
      <t>=</t>
    </r>
  </si>
  <si>
    <t>Inrush Duration</t>
  </si>
  <si>
    <t>Desired UVLO Threshold</t>
  </si>
  <si>
    <t>Desired OVLO Threshold</t>
  </si>
  <si>
    <t>OV UV</t>
  </si>
  <si>
    <t>UVLOF</t>
  </si>
  <si>
    <t>OVR</t>
  </si>
  <si>
    <t>UVLOR</t>
  </si>
  <si>
    <r>
      <t>I</t>
    </r>
    <r>
      <rPr>
        <sz val="6"/>
        <rFont val="Arial"/>
        <family val="2"/>
      </rPr>
      <t>UVLO</t>
    </r>
  </si>
  <si>
    <t>nA</t>
  </si>
  <si>
    <t>OVF</t>
  </si>
  <si>
    <t>IOV</t>
  </si>
  <si>
    <t>Resulting UVLO=</t>
  </si>
  <si>
    <t>Resulting OVLO=</t>
  </si>
  <si>
    <r>
      <t>R</t>
    </r>
    <r>
      <rPr>
        <vertAlign val="subscript"/>
        <sz val="11"/>
        <color theme="1"/>
        <rFont val="Arial"/>
        <family val="2"/>
      </rPr>
      <t>SENSE</t>
    </r>
    <r>
      <rPr>
        <sz val="11"/>
        <color theme="1"/>
        <rFont val="Arial"/>
        <family val="2"/>
      </rPr>
      <t xml:space="preserve"> =</t>
    </r>
  </si>
  <si>
    <r>
      <t>R</t>
    </r>
    <r>
      <rPr>
        <sz val="7"/>
        <color theme="1"/>
        <rFont val="Arial"/>
        <family val="2"/>
      </rPr>
      <t>SET</t>
    </r>
    <r>
      <rPr>
        <sz val="11"/>
        <color theme="1"/>
        <rFont val="Arial"/>
        <family val="2"/>
      </rPr>
      <t>=</t>
    </r>
  </si>
  <si>
    <r>
      <t>R</t>
    </r>
    <r>
      <rPr>
        <sz val="7"/>
        <color theme="1"/>
        <rFont val="Arial"/>
        <family val="2"/>
      </rPr>
      <t>SCP</t>
    </r>
    <r>
      <rPr>
        <sz val="11"/>
        <color theme="1"/>
        <rFont val="Arial"/>
        <family val="2"/>
      </rPr>
      <t>=</t>
    </r>
  </si>
  <si>
    <r>
      <t>R</t>
    </r>
    <r>
      <rPr>
        <sz val="7"/>
        <rFont val="Arial"/>
        <family val="2"/>
      </rPr>
      <t>ILIM</t>
    </r>
    <r>
      <rPr>
        <sz val="10"/>
        <rFont val="Arial"/>
        <family val="2"/>
      </rPr>
      <t>=</t>
    </r>
  </si>
  <si>
    <r>
      <t>R</t>
    </r>
    <r>
      <rPr>
        <sz val="7"/>
        <rFont val="Arial"/>
        <family val="2"/>
      </rPr>
      <t>IMON</t>
    </r>
    <r>
      <rPr>
        <sz val="10"/>
        <rFont val="Arial"/>
        <family val="2"/>
      </rPr>
      <t>=</t>
    </r>
  </si>
  <si>
    <t>© 2023</t>
  </si>
  <si>
    <r>
      <t>Enter R</t>
    </r>
    <r>
      <rPr>
        <sz val="7"/>
        <rFont val="Arial"/>
        <family val="2"/>
      </rPr>
      <t>ILIM</t>
    </r>
  </si>
  <si>
    <t>Actual Current limit=</t>
  </si>
  <si>
    <r>
      <t>Enter R</t>
    </r>
    <r>
      <rPr>
        <sz val="6"/>
        <rFont val="Arial"/>
        <family val="2"/>
      </rPr>
      <t>IMON</t>
    </r>
  </si>
  <si>
    <r>
      <t>Actual V</t>
    </r>
    <r>
      <rPr>
        <sz val="6"/>
        <rFont val="Arial"/>
        <family val="2"/>
      </rPr>
      <t>IMON</t>
    </r>
    <r>
      <rPr>
        <sz val="10"/>
        <rFont val="Arial"/>
        <family val="2"/>
      </rPr>
      <t>=</t>
    </r>
  </si>
  <si>
    <t>Standard EIA Decade Resistor Values</t>
  </si>
  <si>
    <t>0.5%, 0.25%, 0.1%</t>
  </si>
  <si>
    <t>E6</t>
  </si>
  <si>
    <t>E12</t>
  </si>
  <si>
    <t>E24</t>
  </si>
  <si>
    <t>E48</t>
  </si>
  <si>
    <t>E96</t>
  </si>
  <si>
    <t>E192</t>
  </si>
  <si>
    <t>End Values Required for Processing</t>
  </si>
  <si>
    <t>Standard Capacitor Values</t>
  </si>
  <si>
    <t>pF</t>
  </si>
  <si>
    <t>mF</t>
  </si>
  <si>
    <r>
      <t>Selected C</t>
    </r>
    <r>
      <rPr>
        <sz val="7"/>
        <rFont val="Arial"/>
        <family val="2"/>
      </rPr>
      <t>TMR</t>
    </r>
    <r>
      <rPr>
        <sz val="10"/>
        <rFont val="Arial"/>
        <family val="2"/>
      </rPr>
      <t>=</t>
    </r>
  </si>
  <si>
    <t>OC time=</t>
  </si>
  <si>
    <r>
      <t>Max R</t>
    </r>
    <r>
      <rPr>
        <sz val="6"/>
        <rFont val="Arial"/>
        <family val="2"/>
      </rPr>
      <t>IMON</t>
    </r>
    <r>
      <rPr>
        <sz val="10"/>
        <rFont val="Arial"/>
        <family val="2"/>
      </rPr>
      <t>=</t>
    </r>
  </si>
  <si>
    <r>
      <t>Max R</t>
    </r>
    <r>
      <rPr>
        <sz val="6"/>
        <rFont val="Arial"/>
        <family val="2"/>
      </rPr>
      <t>IMON</t>
    </r>
  </si>
  <si>
    <r>
      <t>Suggested R</t>
    </r>
    <r>
      <rPr>
        <sz val="6"/>
        <rFont val="Arial"/>
        <family val="2"/>
      </rPr>
      <t>IMON</t>
    </r>
  </si>
  <si>
    <r>
      <t>Suggested C</t>
    </r>
    <r>
      <rPr>
        <sz val="6"/>
        <rFont val="Arial"/>
        <family val="2"/>
      </rPr>
      <t>TMR</t>
    </r>
  </si>
  <si>
    <r>
      <t>Enter R</t>
    </r>
    <r>
      <rPr>
        <sz val="7"/>
        <rFont val="Arial"/>
        <family val="2"/>
      </rPr>
      <t>scp</t>
    </r>
  </si>
  <si>
    <r>
      <t>Suggested R</t>
    </r>
    <r>
      <rPr>
        <sz val="7"/>
        <rFont val="Arial"/>
        <family val="2"/>
      </rPr>
      <t>scp</t>
    </r>
  </si>
  <si>
    <r>
      <t>R</t>
    </r>
    <r>
      <rPr>
        <sz val="7"/>
        <rFont val="Arial"/>
        <family val="2"/>
      </rPr>
      <t>SCP</t>
    </r>
  </si>
  <si>
    <r>
      <t>I</t>
    </r>
    <r>
      <rPr>
        <sz val="7"/>
        <rFont val="Arial"/>
        <family val="2"/>
      </rPr>
      <t>SCP</t>
    </r>
    <r>
      <rPr>
        <sz val="10"/>
        <rFont val="Arial"/>
        <family val="2"/>
      </rPr>
      <t>=</t>
    </r>
  </si>
  <si>
    <t>Resulting Short circuit current limit</t>
  </si>
  <si>
    <r>
      <t>Minimum Input DC Operating Voltage: V</t>
    </r>
    <r>
      <rPr>
        <vertAlign val="subscript"/>
        <sz val="10"/>
        <rFont val="Arial"/>
        <family val="2"/>
      </rPr>
      <t>IN(MIN)</t>
    </r>
  </si>
  <si>
    <r>
      <t>Nominal Input DC Operating Voltage: V</t>
    </r>
    <r>
      <rPr>
        <vertAlign val="subscript"/>
        <sz val="10"/>
        <rFont val="Arial"/>
        <family val="2"/>
      </rPr>
      <t>IN(NOM)</t>
    </r>
  </si>
  <si>
    <r>
      <t>Maximum Input DC Operating Voltage: V</t>
    </r>
    <r>
      <rPr>
        <vertAlign val="subscript"/>
        <sz val="10"/>
        <rFont val="Arial"/>
        <family val="2"/>
      </rPr>
      <t>IN(MAX)</t>
    </r>
  </si>
  <si>
    <r>
      <t>Enter value of R</t>
    </r>
    <r>
      <rPr>
        <sz val="6"/>
        <rFont val="Arial"/>
        <family val="2"/>
      </rPr>
      <t>SET</t>
    </r>
  </si>
  <si>
    <r>
      <t>Suggested value of R</t>
    </r>
    <r>
      <rPr>
        <sz val="6"/>
        <rFont val="Arial"/>
        <family val="2"/>
      </rPr>
      <t>ILIM</t>
    </r>
  </si>
  <si>
    <t>Actual Overcurrent Fault Time</t>
  </si>
  <si>
    <t>Typical Current Limit Required</t>
  </si>
  <si>
    <r>
      <t>Suggested C</t>
    </r>
    <r>
      <rPr>
        <sz val="7"/>
        <rFont val="Arial"/>
        <family val="2"/>
      </rPr>
      <t>TMR</t>
    </r>
    <r>
      <rPr>
        <sz val="10"/>
        <rFont val="Arial"/>
        <family val="2"/>
      </rPr>
      <t>=</t>
    </r>
  </si>
  <si>
    <r>
      <t>Selected C</t>
    </r>
    <r>
      <rPr>
        <sz val="6"/>
        <rFont val="Arial"/>
        <family val="2"/>
      </rPr>
      <t>TMR</t>
    </r>
  </si>
  <si>
    <t>dv/dt rate on Vout for above capacitor</t>
  </si>
  <si>
    <t>If any of the above cells is red, see the  Instructions Worksheet</t>
  </si>
  <si>
    <t>Calculated/Suggested Values are shown in White Cells</t>
  </si>
  <si>
    <r>
      <t>Maximum Output Load Capacitance: C</t>
    </r>
    <r>
      <rPr>
        <vertAlign val="subscript"/>
        <sz val="10"/>
        <rFont val="Arial"/>
        <family val="2"/>
      </rPr>
      <t>OUT</t>
    </r>
  </si>
  <si>
    <r>
      <t>Voltage at IMON pin at max load for above R</t>
    </r>
    <r>
      <rPr>
        <sz val="7"/>
        <rFont val="Arial"/>
        <family val="2"/>
      </rPr>
      <t>IMON</t>
    </r>
    <r>
      <rPr>
        <sz val="10"/>
        <rFont val="Arial"/>
        <family val="2"/>
      </rPr>
      <t>, V</t>
    </r>
    <r>
      <rPr>
        <sz val="6"/>
        <rFont val="Arial"/>
        <family val="2"/>
      </rPr>
      <t>IMON</t>
    </r>
  </si>
  <si>
    <r>
      <t>C</t>
    </r>
    <r>
      <rPr>
        <sz val="7"/>
        <rFont val="Arial"/>
        <family val="2"/>
      </rPr>
      <t>OUT</t>
    </r>
    <r>
      <rPr>
        <sz val="10"/>
        <rFont val="Arial"/>
        <family val="2"/>
      </rPr>
      <t>=</t>
    </r>
  </si>
  <si>
    <t>3. Component tolerances not accounted for in Min/Max Calculations.</t>
  </si>
  <si>
    <t>3. Enter MOSTFET SOA characteristics</t>
  </si>
  <si>
    <r>
      <t>Calculated SS capacitance C</t>
    </r>
    <r>
      <rPr>
        <sz val="8"/>
        <rFont val="Arial"/>
        <family val="2"/>
      </rPr>
      <t>dv/dt</t>
    </r>
  </si>
  <si>
    <r>
      <t>Select SS capacitance C</t>
    </r>
    <r>
      <rPr>
        <sz val="8"/>
        <rFont val="Arial"/>
        <family val="2"/>
      </rPr>
      <t>dv/dt</t>
    </r>
  </si>
  <si>
    <t>Required Maximum allowed Inrush Current</t>
  </si>
  <si>
    <r>
      <t>Voltage required at IMON pin at max load, V</t>
    </r>
    <r>
      <rPr>
        <sz val="6"/>
        <rFont val="Arial"/>
        <family val="2"/>
      </rPr>
      <t>IMON</t>
    </r>
  </si>
  <si>
    <t>Required Short circuit current limit</t>
  </si>
  <si>
    <t>Actual  Inrush Current</t>
  </si>
  <si>
    <t xml:space="preserve">Resulting UVLO Rising Threshold = </t>
  </si>
  <si>
    <t xml:space="preserve">Resulting UVLO Falling Threshold = </t>
  </si>
  <si>
    <t xml:space="preserve">Resulting OVLO Rising Threshold = </t>
  </si>
  <si>
    <t xml:space="preserve">Resulting OVLO Falling Threshold = </t>
  </si>
  <si>
    <t>BUK7Y4R8-60E</t>
  </si>
  <si>
    <t>Steps 1 &amp; 2: Operating Conditions, Current Limit, &amp; Circuit Breaker</t>
  </si>
  <si>
    <r>
      <t>Enter the Value of Sense Resistor R</t>
    </r>
    <r>
      <rPr>
        <sz val="6"/>
        <rFont val="Arial"/>
        <family val="2"/>
      </rPr>
      <t>SNS</t>
    </r>
  </si>
  <si>
    <t>Required Overcurrent Timer Duration</t>
  </si>
  <si>
    <t>Q2 FET driven by HGATE Name</t>
  </si>
  <si>
    <t>Number of MosFETs in parallel driven by HGATE</t>
  </si>
  <si>
    <t xml:space="preserve">Enter Crss of Q2 FET/s Driven by HGATE </t>
  </si>
  <si>
    <t>IFET_Crss</t>
  </si>
  <si>
    <r>
      <t xml:space="preserve">                       </t>
    </r>
    <r>
      <rPr>
        <sz val="22"/>
        <color theme="0"/>
        <rFont val="Arial"/>
        <family val="2"/>
      </rPr>
      <t>LM749x0-Q1 Ideal Diode Design Tool</t>
    </r>
  </si>
  <si>
    <t>LM749x0-Q1 Datasheet (See "Design-In Procedure")</t>
  </si>
  <si>
    <t>LM749x0-Q1 Design Tool- Rev. A</t>
  </si>
  <si>
    <t>SMBJ33CA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</si>
</sst>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E+0"/>
    <numFmt numFmtId="167" formatCode="0.0000"/>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
      <b/>
      <u/>
      <sz val="9"/>
      <color rgb="FFFF0000"/>
      <name val="Arial"/>
      <family val="2"/>
    </font>
    <font>
      <b/>
      <sz val="9"/>
      <name val="Arial"/>
      <family val="2"/>
    </font>
    <font>
      <sz val="8"/>
      <color indexed="81"/>
      <name val="Tahoma"/>
      <family val="2"/>
    </font>
    <font>
      <sz val="7"/>
      <name val="Arial"/>
      <family val="2"/>
    </font>
    <font>
      <sz val="6"/>
      <name val="Arial"/>
      <family val="2"/>
    </font>
    <font>
      <b/>
      <sz val="11"/>
      <color theme="1"/>
      <name val="Calibri"/>
      <family val="2"/>
      <scheme val="minor"/>
    </font>
    <font>
      <sz val="7"/>
      <color theme="1"/>
      <name val="Arial"/>
      <family val="2"/>
    </font>
    <font>
      <b/>
      <sz val="16"/>
      <color theme="1"/>
      <name val="Calibri"/>
      <family val="2"/>
      <scheme val="minor"/>
    </font>
    <font>
      <u/>
      <sz val="11"/>
      <color theme="10"/>
      <name val="Calibri"/>
      <family val="2"/>
      <scheme val="minor"/>
    </font>
    <font>
      <u/>
      <sz val="20"/>
      <color theme="10"/>
      <name val="Calibri"/>
      <family val="2"/>
      <scheme val="minor"/>
    </font>
    <font>
      <b/>
      <sz val="8"/>
      <color rgb="FF333333"/>
      <name val="Arial"/>
      <family val="2"/>
    </font>
    <font>
      <sz val="9"/>
      <color rgb="FF000000"/>
      <name val="Verdana"/>
      <family val="2"/>
    </font>
  </fonts>
  <fills count="20">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s>
  <cellStyleXfs count="18">
    <xf numFmtId="0" fontId="0" fillId="0" borderId="0"/>
    <xf numFmtId="0" fontId="18" fillId="0" borderId="0" applyNumberFormat="0" applyFill="0" applyBorder="0" applyAlignment="0" applyProtection="0">
      <alignment vertical="top"/>
      <protection locked="0"/>
    </xf>
    <xf numFmtId="0" fontId="5" fillId="0" borderId="0"/>
    <xf numFmtId="0" fontId="5" fillId="2" borderId="0">
      <alignment horizontal="center"/>
    </xf>
    <xf numFmtId="0" fontId="5" fillId="5" borderId="1">
      <alignment horizontal="center" vertical="center"/>
      <protection locked="0"/>
    </xf>
    <xf numFmtId="0" fontId="5" fillId="10" borderId="1">
      <alignment horizontal="center" vertical="center"/>
      <protection locked="0"/>
    </xf>
    <xf numFmtId="0" fontId="5" fillId="0" borderId="7"/>
    <xf numFmtId="0" fontId="5" fillId="10" borderId="1">
      <alignment horizontal="center" vertical="center"/>
      <protection locked="0"/>
    </xf>
    <xf numFmtId="0" fontId="5" fillId="10" borderId="1">
      <alignment horizontal="center" vertical="center"/>
      <protection locked="0"/>
    </xf>
    <xf numFmtId="0" fontId="5" fillId="10" borderId="1">
      <alignment horizontal="center" vertical="center"/>
      <protection locked="0"/>
    </xf>
    <xf numFmtId="0" fontId="4" fillId="0" borderId="0"/>
    <xf numFmtId="0" fontId="3" fillId="0" borderId="0"/>
    <xf numFmtId="0" fontId="2" fillId="0" borderId="0"/>
    <xf numFmtId="0" fontId="5" fillId="0" borderId="0"/>
    <xf numFmtId="0" fontId="2" fillId="0" borderId="0"/>
    <xf numFmtId="0" fontId="2" fillId="0" borderId="0"/>
    <xf numFmtId="0" fontId="1" fillId="0" borderId="0"/>
    <xf numFmtId="0" fontId="54" fillId="0" borderId="0" applyNumberFormat="0" applyFill="0" applyBorder="0" applyAlignment="0" applyProtection="0"/>
  </cellStyleXfs>
  <cellXfs count="337">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12" fillId="2" borderId="0" xfId="0" applyFont="1" applyFill="1" applyAlignment="1">
      <alignment horizontal="left"/>
    </xf>
    <xf numFmtId="14" fontId="12" fillId="2" borderId="0" xfId="0" applyNumberFormat="1" applyFont="1" applyFill="1" applyAlignment="1">
      <alignment horizontal="left"/>
    </xf>
    <xf numFmtId="0" fontId="0" fillId="0" borderId="1" xfId="0" applyFill="1" applyBorder="1" applyAlignment="1">
      <alignment horizontal="center"/>
    </xf>
    <xf numFmtId="0" fontId="6" fillId="0" borderId="0" xfId="0" applyFont="1"/>
    <xf numFmtId="2" fontId="0" fillId="0" borderId="1" xfId="0" applyNumberFormat="1" applyBorder="1" applyAlignment="1">
      <alignment horizontal="center"/>
    </xf>
    <xf numFmtId="0" fontId="0" fillId="0" borderId="5" xfId="0" applyBorder="1" applyAlignment="1">
      <alignment horizontal="center"/>
    </xf>
    <xf numFmtId="0" fontId="0" fillId="0" borderId="8" xfId="0" applyFill="1" applyBorder="1" applyAlignment="1">
      <alignment horizontal="center"/>
    </xf>
    <xf numFmtId="0" fontId="0" fillId="2" borderId="0" xfId="0" applyFill="1" applyProtection="1">
      <protection locked="0"/>
    </xf>
    <xf numFmtId="0" fontId="5" fillId="0" borderId="0" xfId="0" applyFont="1"/>
    <xf numFmtId="0" fontId="5" fillId="0" borderId="0" xfId="0" applyFont="1" applyAlignment="1">
      <alignment horizontal="right"/>
    </xf>
    <xf numFmtId="0" fontId="5" fillId="2" borderId="0" xfId="0" applyFont="1" applyFill="1" applyBorder="1" applyAlignment="1">
      <alignment horizontal="left"/>
    </xf>
    <xf numFmtId="0" fontId="0" fillId="3" borderId="0" xfId="0" applyFill="1"/>
    <xf numFmtId="0" fontId="5" fillId="2" borderId="0" xfId="0" applyFont="1" applyFill="1" applyBorder="1" applyAlignment="1">
      <alignment horizontal="right"/>
    </xf>
    <xf numFmtId="0" fontId="19" fillId="2" borderId="0" xfId="1" applyFont="1" applyFill="1" applyAlignment="1" applyProtection="1"/>
    <xf numFmtId="0" fontId="20" fillId="3" borderId="0" xfId="0" applyFont="1" applyFill="1" applyProtection="1"/>
    <xf numFmtId="0" fontId="23" fillId="3" borderId="0" xfId="0" applyFont="1" applyFill="1" applyBorder="1" applyProtection="1"/>
    <xf numFmtId="0" fontId="23" fillId="3" borderId="0" xfId="0" applyFont="1" applyFill="1" applyProtection="1"/>
    <xf numFmtId="0" fontId="22" fillId="3" borderId="18" xfId="0" applyFont="1" applyFill="1" applyBorder="1" applyAlignment="1" applyProtection="1">
      <alignment horizontal="center" vertical="center"/>
    </xf>
    <xf numFmtId="0" fontId="24" fillId="2" borderId="0" xfId="0" applyFont="1" applyFill="1"/>
    <xf numFmtId="0" fontId="27" fillId="2" borderId="0" xfId="0" applyFont="1" applyFill="1"/>
    <xf numFmtId="0" fontId="0" fillId="2" borderId="0" xfId="0" applyFill="1" applyBorder="1" applyAlignment="1">
      <alignment horizontal="right" vertical="center"/>
    </xf>
    <xf numFmtId="0" fontId="5" fillId="2" borderId="0" xfId="0" applyFont="1" applyFill="1" applyBorder="1" applyAlignment="1">
      <alignment horizontal="right" vertical="center"/>
    </xf>
    <xf numFmtId="0" fontId="5" fillId="2" borderId="0" xfId="0" applyFont="1" applyFill="1" applyAlignment="1">
      <alignment horizontal="right"/>
    </xf>
    <xf numFmtId="0" fontId="0" fillId="0" borderId="1" xfId="0" applyFill="1" applyBorder="1" applyAlignment="1" applyProtection="1">
      <alignment horizontal="center" vertical="center"/>
      <protection locked="0"/>
    </xf>
    <xf numFmtId="0" fontId="5" fillId="0" borderId="0" xfId="2" applyAlignment="1" applyProtection="1">
      <alignment horizontal="center"/>
    </xf>
    <xf numFmtId="0" fontId="5" fillId="0" borderId="0" xfId="2"/>
    <xf numFmtId="164" fontId="5" fillId="0" borderId="0" xfId="2" applyNumberFormat="1" applyAlignment="1" applyProtection="1">
      <alignment horizontal="center"/>
    </xf>
    <xf numFmtId="166" fontId="5" fillId="0" borderId="0" xfId="2" applyNumberFormat="1" applyAlignment="1" applyProtection="1">
      <alignment horizontal="center"/>
    </xf>
    <xf numFmtId="2" fontId="5" fillId="0" borderId="19" xfId="2" applyNumberFormat="1" applyBorder="1" applyAlignment="1" applyProtection="1">
      <alignment horizontal="center"/>
    </xf>
    <xf numFmtId="0" fontId="5" fillId="0" borderId="1" xfId="2" applyFont="1" applyBorder="1"/>
    <xf numFmtId="0" fontId="5" fillId="0" borderId="1" xfId="2" applyBorder="1"/>
    <xf numFmtId="0" fontId="5" fillId="0" borderId="0" xfId="0" applyFont="1" applyFill="1" applyBorder="1"/>
    <xf numFmtId="0" fontId="0" fillId="0" borderId="0" xfId="0" applyFill="1" applyBorder="1" applyAlignment="1" applyProtection="1">
      <alignment horizontal="center" vertical="center"/>
      <protection locked="0"/>
    </xf>
    <xf numFmtId="0" fontId="5" fillId="0" borderId="0" xfId="0" applyFont="1" applyFill="1" applyAlignment="1">
      <alignment horizontal="right"/>
    </xf>
    <xf numFmtId="166" fontId="5" fillId="0" borderId="0" xfId="2" applyNumberFormat="1" applyAlignment="1">
      <alignment horizontal="center"/>
    </xf>
    <xf numFmtId="2" fontId="5" fillId="0" borderId="0" xfId="2" applyNumberFormat="1" applyAlignment="1">
      <alignment horizontal="center"/>
    </xf>
    <xf numFmtId="0" fontId="5" fillId="0" borderId="0" xfId="0" applyFont="1" applyAlignment="1">
      <alignment horizontal="center"/>
    </xf>
    <xf numFmtId="0" fontId="0" fillId="2" borderId="18" xfId="0" applyFill="1" applyBorder="1"/>
    <xf numFmtId="0" fontId="5" fillId="2" borderId="18" xfId="0" applyFont="1" applyFill="1" applyBorder="1" applyAlignment="1">
      <alignment horizontal="right" vertical="center"/>
    </xf>
    <xf numFmtId="0" fontId="24" fillId="2" borderId="19" xfId="0" applyFont="1" applyFill="1" applyBorder="1"/>
    <xf numFmtId="0" fontId="0" fillId="2" borderId="19" xfId="0" applyFill="1" applyBorder="1"/>
    <xf numFmtId="0" fontId="0" fillId="2" borderId="21" xfId="0" applyFill="1" applyBorder="1"/>
    <xf numFmtId="0" fontId="0" fillId="2" borderId="20" xfId="0" applyFill="1" applyBorder="1"/>
    <xf numFmtId="0" fontId="5" fillId="2" borderId="20" xfId="0" applyFont="1" applyFill="1" applyBorder="1" applyAlignment="1">
      <alignment horizontal="right" vertical="center"/>
    </xf>
    <xf numFmtId="0" fontId="5" fillId="2" borderId="18" xfId="0" applyFont="1" applyFill="1" applyBorder="1" applyAlignment="1">
      <alignment horizontal="right"/>
    </xf>
    <xf numFmtId="0" fontId="0" fillId="0" borderId="19" xfId="0" applyBorder="1"/>
    <xf numFmtId="0" fontId="0" fillId="0" borderId="0" xfId="0" applyAlignment="1">
      <alignment horizontal="left"/>
    </xf>
    <xf numFmtId="0" fontId="0" fillId="2" borderId="18" xfId="0" applyFill="1" applyBorder="1" applyAlignment="1">
      <alignment horizontal="right" vertical="center"/>
    </xf>
    <xf numFmtId="0" fontId="0" fillId="2" borderId="23" xfId="0" applyFill="1" applyBorder="1"/>
    <xf numFmtId="0" fontId="6" fillId="2" borderId="0" xfId="0" applyFont="1" applyFill="1" applyBorder="1" applyAlignment="1">
      <alignment horizontal="right"/>
    </xf>
    <xf numFmtId="0" fontId="6" fillId="2" borderId="0" xfId="0" applyFont="1" applyFill="1" applyBorder="1" applyAlignment="1">
      <alignment horizontal="center"/>
    </xf>
    <xf numFmtId="0" fontId="11" fillId="2" borderId="0" xfId="0" applyFont="1" applyFill="1" applyBorder="1"/>
    <xf numFmtId="0" fontId="0" fillId="2" borderId="24" xfId="0" applyFill="1" applyBorder="1"/>
    <xf numFmtId="0" fontId="25" fillId="2" borderId="0" xfId="0" applyFont="1" applyFill="1" applyBorder="1" applyAlignment="1">
      <alignment horizontal="right" vertical="center"/>
    </xf>
    <xf numFmtId="0" fontId="0" fillId="2" borderId="4" xfId="0"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0" fontId="0" fillId="5" borderId="0" xfId="0" applyFill="1" applyBorder="1"/>
    <xf numFmtId="0" fontId="5" fillId="5" borderId="0" xfId="0" applyFont="1" applyFill="1" applyBorder="1" applyAlignment="1">
      <alignment horizontal="right" vertical="center"/>
    </xf>
    <xf numFmtId="0" fontId="0" fillId="6" borderId="0" xfId="0" applyFill="1" applyBorder="1"/>
    <xf numFmtId="0" fontId="5" fillId="6" borderId="0" xfId="0" applyFont="1" applyFill="1" applyBorder="1" applyAlignment="1">
      <alignment horizontal="right" vertical="center"/>
    </xf>
    <xf numFmtId="0" fontId="20" fillId="0" borderId="0" xfId="0" applyFont="1" applyFill="1" applyBorder="1" applyProtection="1"/>
    <xf numFmtId="0" fontId="0" fillId="2" borderId="22" xfId="0" applyFill="1" applyBorder="1"/>
    <xf numFmtId="0" fontId="5" fillId="2" borderId="0" xfId="0" applyFont="1" applyFill="1" applyBorder="1"/>
    <xf numFmtId="0" fontId="25" fillId="2" borderId="18" xfId="0" applyFont="1" applyFill="1" applyBorder="1" applyAlignment="1">
      <alignment horizontal="right" vertical="center"/>
    </xf>
    <xf numFmtId="0" fontId="6" fillId="2" borderId="0" xfId="0" applyFont="1" applyFill="1" applyBorder="1"/>
    <xf numFmtId="0" fontId="0" fillId="7" borderId="18" xfId="0" applyFill="1" applyBorder="1"/>
    <xf numFmtId="1" fontId="5" fillId="2" borderId="0" xfId="0" applyNumberFormat="1" applyFont="1" applyFill="1" applyBorder="1" applyAlignment="1">
      <alignment horizontal="center" vertical="center"/>
    </xf>
    <xf numFmtId="0" fontId="6" fillId="0" borderId="0" xfId="0" applyFont="1" applyFill="1" applyAlignment="1" applyProtection="1">
      <alignment horizontal="left"/>
      <protection locked="0"/>
    </xf>
    <xf numFmtId="0" fontId="0" fillId="0" borderId="0" xfId="0" applyFill="1"/>
    <xf numFmtId="0" fontId="6" fillId="0" borderId="9" xfId="0" applyFont="1" applyFill="1" applyBorder="1" applyAlignment="1">
      <alignment horizontal="center"/>
    </xf>
    <xf numFmtId="0" fontId="6" fillId="0" borderId="11" xfId="0" applyFont="1" applyFill="1" applyBorder="1" applyAlignment="1">
      <alignment horizontal="center"/>
    </xf>
    <xf numFmtId="0" fontId="6" fillId="0" borderId="12" xfId="0" applyFont="1" applyFill="1" applyBorder="1" applyAlignment="1">
      <alignment horizontal="center"/>
    </xf>
    <xf numFmtId="0" fontId="6" fillId="0" borderId="13" xfId="0" applyFont="1" applyFill="1" applyBorder="1" applyAlignment="1">
      <alignment horizontal="center"/>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0" fontId="0" fillId="8" borderId="0" xfId="0" applyFill="1" applyBorder="1"/>
    <xf numFmtId="0" fontId="5" fillId="8" borderId="0" xfId="0" applyFont="1" applyFill="1" applyBorder="1" applyAlignment="1">
      <alignment horizontal="right" vertical="center"/>
    </xf>
    <xf numFmtId="0" fontId="0" fillId="9" borderId="1" xfId="0" applyNumberFormat="1" applyFill="1" applyBorder="1" applyAlignment="1" applyProtection="1">
      <alignment horizontal="center" vertical="center"/>
      <protection locked="0"/>
    </xf>
    <xf numFmtId="0" fontId="27" fillId="7" borderId="17" xfId="0" applyFont="1" applyFill="1" applyBorder="1"/>
    <xf numFmtId="0" fontId="0" fillId="3" borderId="23" xfId="0" applyFill="1" applyBorder="1"/>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xf>
    <xf numFmtId="0" fontId="5" fillId="0" borderId="1" xfId="0" applyFont="1" applyBorder="1" applyAlignment="1">
      <alignment horizontal="center"/>
    </xf>
    <xf numFmtId="0" fontId="5"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5" fillId="0" borderId="0" xfId="2" applyNumberFormat="1"/>
    <xf numFmtId="0" fontId="31" fillId="0" borderId="0" xfId="2" applyFont="1"/>
    <xf numFmtId="0" fontId="31" fillId="0" borderId="0" xfId="2" applyFont="1" applyAlignment="1" applyProtection="1">
      <alignment horizontal="center"/>
    </xf>
    <xf numFmtId="0" fontId="31" fillId="0" borderId="0" xfId="2" applyFont="1" applyAlignment="1">
      <alignment horizontal="center"/>
    </xf>
    <xf numFmtId="10" fontId="5" fillId="0" borderId="0" xfId="2" applyNumberFormat="1"/>
    <xf numFmtId="0" fontId="5" fillId="0" borderId="0" xfId="0" applyFont="1" applyAlignment="1">
      <alignment horizontal="center"/>
    </xf>
    <xf numFmtId="0" fontId="0" fillId="0" borderId="0" xfId="0"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0" fontId="32" fillId="0" borderId="0" xfId="2" applyFont="1"/>
    <xf numFmtId="0" fontId="31" fillId="0" borderId="0" xfId="0" applyFont="1" applyAlignment="1">
      <alignment horizontal="center"/>
    </xf>
    <xf numFmtId="0" fontId="6" fillId="0" borderId="0" xfId="0" applyFont="1" applyAlignment="1">
      <alignment horizontal="center"/>
    </xf>
    <xf numFmtId="0" fontId="5" fillId="3" borderId="0" xfId="0" applyFont="1" applyFill="1" applyAlignment="1">
      <alignment horizontal="right"/>
    </xf>
    <xf numFmtId="0" fontId="5" fillId="2" borderId="27" xfId="0" applyFont="1" applyFill="1" applyBorder="1" applyAlignment="1">
      <alignment horizontal="center" vertical="center"/>
    </xf>
    <xf numFmtId="0" fontId="5" fillId="2" borderId="7" xfId="0" applyFont="1" applyFill="1" applyBorder="1" applyAlignment="1">
      <alignment horizontal="center" vertical="center"/>
    </xf>
    <xf numFmtId="0" fontId="0" fillId="2" borderId="7" xfId="0" applyFill="1" applyBorder="1" applyAlignment="1">
      <alignment horizontal="center" vertical="center"/>
    </xf>
    <xf numFmtId="0" fontId="5" fillId="2" borderId="25" xfId="0" applyFont="1" applyFill="1" applyBorder="1" applyAlignment="1">
      <alignment horizontal="center" vertical="center"/>
    </xf>
    <xf numFmtId="0" fontId="14" fillId="2" borderId="7" xfId="0" applyFont="1"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5"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0" fillId="2" borderId="4" xfId="0" applyFill="1" applyBorder="1" applyAlignment="1">
      <alignment horizontal="center"/>
    </xf>
    <xf numFmtId="0" fontId="10" fillId="2" borderId="18" xfId="0" applyFont="1" applyFill="1" applyBorder="1" applyAlignment="1">
      <alignment horizontal="center" vertical="center"/>
    </xf>
    <xf numFmtId="0" fontId="14"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ill="1" applyBorder="1" applyAlignment="1">
      <alignment horizontal="center"/>
    </xf>
    <xf numFmtId="0" fontId="0" fillId="3" borderId="0" xfId="0" applyFill="1" applyAlignment="1">
      <alignment horizontal="center"/>
    </xf>
    <xf numFmtId="0" fontId="5" fillId="0" borderId="0" xfId="0" applyFont="1" applyFill="1" applyBorder="1" applyAlignment="1">
      <alignment horizontal="right"/>
    </xf>
    <xf numFmtId="2" fontId="5" fillId="0" borderId="0" xfId="0" applyNumberFormat="1" applyFont="1"/>
    <xf numFmtId="0" fontId="0" fillId="0" borderId="0" xfId="0" applyAlignment="1">
      <alignment horizontal="center"/>
    </xf>
    <xf numFmtId="0" fontId="0" fillId="10" borderId="10" xfId="0" applyFill="1"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0" fontId="5" fillId="2" borderId="0" xfId="0" applyFont="1" applyFill="1"/>
    <xf numFmtId="0" fontId="5"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0" fontId="0" fillId="2" borderId="3" xfId="0" applyFill="1" applyBorder="1"/>
    <xf numFmtId="165" fontId="5" fillId="0" borderId="0" xfId="2" applyNumberFormat="1" applyAlignment="1">
      <alignment horizontal="center"/>
    </xf>
    <xf numFmtId="165" fontId="5" fillId="0" borderId="0" xfId="2" applyNumberFormat="1"/>
    <xf numFmtId="0" fontId="34" fillId="4" borderId="1" xfId="0" applyFont="1" applyFill="1" applyBorder="1" applyAlignment="1">
      <alignment horizontal="center"/>
    </xf>
    <xf numFmtId="0" fontId="0" fillId="5" borderId="1" xfId="0" applyFill="1" applyBorder="1" applyAlignment="1">
      <alignment horizontal="center"/>
    </xf>
    <xf numFmtId="0" fontId="5" fillId="0" borderId="0" xfId="2"/>
    <xf numFmtId="0" fontId="5" fillId="12" borderId="29" xfId="2" applyFill="1" applyBorder="1" applyProtection="1"/>
    <xf numFmtId="0" fontId="5" fillId="12" borderId="30" xfId="2" applyFill="1" applyBorder="1" applyProtection="1"/>
    <xf numFmtId="0" fontId="5" fillId="12" borderId="31" xfId="2" applyFill="1" applyBorder="1" applyProtection="1"/>
    <xf numFmtId="0" fontId="5" fillId="12" borderId="32" xfId="2" applyFill="1" applyBorder="1" applyProtection="1"/>
    <xf numFmtId="0" fontId="5" fillId="12" borderId="0" xfId="2" applyFill="1" applyBorder="1" applyProtection="1"/>
    <xf numFmtId="0" fontId="5" fillId="12" borderId="33" xfId="2" applyFill="1" applyBorder="1" applyProtection="1"/>
    <xf numFmtId="0" fontId="37" fillId="12" borderId="0" xfId="2" applyFont="1" applyFill="1" applyBorder="1" applyProtection="1"/>
    <xf numFmtId="0" fontId="38" fillId="12" borderId="0" xfId="2" applyFont="1" applyFill="1" applyBorder="1" applyProtection="1"/>
    <xf numFmtId="0" fontId="39" fillId="12" borderId="0" xfId="2" applyFont="1" applyFill="1" applyBorder="1" applyProtection="1"/>
    <xf numFmtId="0" fontId="40" fillId="12" borderId="0" xfId="2" applyFont="1" applyFill="1" applyProtection="1"/>
    <xf numFmtId="0" fontId="5" fillId="12" borderId="0" xfId="2" applyFill="1" applyProtection="1"/>
    <xf numFmtId="0" fontId="41" fillId="12" borderId="0" xfId="2" applyFont="1" applyFill="1" applyAlignment="1" applyProtection="1"/>
    <xf numFmtId="0" fontId="41" fillId="12" borderId="0" xfId="2" applyFont="1" applyFill="1" applyAlignment="1" applyProtection="1">
      <alignment wrapText="1"/>
    </xf>
    <xf numFmtId="0" fontId="42" fillId="12" borderId="0" xfId="2" applyFont="1" applyFill="1" applyAlignment="1" applyProtection="1">
      <alignment vertical="center"/>
    </xf>
    <xf numFmtId="0" fontId="42" fillId="12" borderId="0" xfId="2" applyFont="1" applyFill="1" applyProtection="1"/>
    <xf numFmtId="0" fontId="5" fillId="12" borderId="34" xfId="2" applyFill="1" applyBorder="1" applyProtection="1"/>
    <xf numFmtId="0" fontId="5" fillId="12" borderId="35" xfId="2" applyFill="1" applyBorder="1" applyProtection="1"/>
    <xf numFmtId="0" fontId="5" fillId="12" borderId="36" xfId="2" applyFill="1" applyBorder="1" applyProtection="1"/>
    <xf numFmtId="0" fontId="5" fillId="12" borderId="0" xfId="2" applyFont="1" applyFill="1" applyBorder="1" applyProtection="1"/>
    <xf numFmtId="165" fontId="0" fillId="2" borderId="0" xfId="0" applyNumberFormat="1" applyFill="1" applyBorder="1" applyAlignment="1">
      <alignment horizontal="center"/>
    </xf>
    <xf numFmtId="1" fontId="0" fillId="2" borderId="0" xfId="0" applyNumberFormat="1" applyFill="1" applyBorder="1" applyAlignment="1">
      <alignment horizontal="center"/>
    </xf>
    <xf numFmtId="2" fontId="0" fillId="2" borderId="0" xfId="0" applyNumberFormat="1" applyFill="1" applyBorder="1" applyAlignment="1">
      <alignment horizontal="center"/>
    </xf>
    <xf numFmtId="164" fontId="0" fillId="2" borderId="0" xfId="0" applyNumberFormat="1" applyFill="1" applyBorder="1" applyAlignment="1">
      <alignment horizontal="center"/>
    </xf>
    <xf numFmtId="2" fontId="5" fillId="0" borderId="0" xfId="2" applyNumberFormat="1" applyAlignment="1">
      <alignment horizontal="center"/>
    </xf>
    <xf numFmtId="0" fontId="5" fillId="0" borderId="0" xfId="2"/>
    <xf numFmtId="0" fontId="5" fillId="0" borderId="0" xfId="2" applyAlignment="1">
      <alignment horizontal="center"/>
    </xf>
    <xf numFmtId="2" fontId="5" fillId="0" borderId="0" xfId="2" applyNumberFormat="1"/>
    <xf numFmtId="0" fontId="5" fillId="0" borderId="0" xfId="2" applyFont="1"/>
    <xf numFmtId="0" fontId="5" fillId="0" borderId="0" xfId="2" applyFont="1" applyAlignment="1">
      <alignment horizontal="center"/>
    </xf>
    <xf numFmtId="0" fontId="5" fillId="0" borderId="0" xfId="2" applyBorder="1" applyAlignment="1">
      <alignment horizontal="center"/>
    </xf>
    <xf numFmtId="2" fontId="5" fillId="0" borderId="0" xfId="2" applyNumberFormat="1" applyBorder="1" applyAlignment="1">
      <alignment horizontal="center"/>
    </xf>
    <xf numFmtId="0" fontId="32" fillId="0" borderId="0" xfId="2" applyFont="1"/>
    <xf numFmtId="0" fontId="5" fillId="0" borderId="0" xfId="2" applyFont="1" applyBorder="1" applyAlignment="1">
      <alignment horizontal="center"/>
    </xf>
    <xf numFmtId="0" fontId="32" fillId="0" borderId="0" xfId="2" applyFont="1" applyAlignment="1">
      <alignment horizontal="center"/>
    </xf>
    <xf numFmtId="0" fontId="32" fillId="11" borderId="0" xfId="2" applyFont="1" applyFill="1"/>
    <xf numFmtId="2" fontId="32" fillId="0" borderId="0" xfId="2" applyNumberFormat="1" applyFont="1" applyBorder="1" applyAlignment="1">
      <alignment horizontal="center"/>
    </xf>
    <xf numFmtId="0" fontId="5" fillId="0" borderId="0" xfId="2"/>
    <xf numFmtId="0" fontId="5" fillId="0" borderId="0" xfId="2" applyAlignment="1">
      <alignment horizontal="center"/>
    </xf>
    <xf numFmtId="0" fontId="5" fillId="0" borderId="0" xfId="2" applyBorder="1"/>
    <xf numFmtId="2" fontId="5" fillId="0" borderId="0" xfId="2" applyNumberFormat="1" applyAlignment="1">
      <alignment horizontal="center"/>
    </xf>
    <xf numFmtId="0" fontId="5" fillId="0" borderId="0" xfId="2" applyFont="1"/>
    <xf numFmtId="0" fontId="5" fillId="0" borderId="0" xfId="2" applyFont="1" applyAlignment="1">
      <alignment horizontal="right"/>
    </xf>
    <xf numFmtId="0" fontId="5" fillId="0" borderId="0" xfId="2" applyFont="1" applyAlignment="1">
      <alignment horizontal="center"/>
    </xf>
    <xf numFmtId="0" fontId="5" fillId="0" borderId="1" xfId="2" applyBorder="1"/>
    <xf numFmtId="0" fontId="5" fillId="0" borderId="0" xfId="2" applyFill="1" applyBorder="1" applyAlignment="1">
      <alignment horizontal="center"/>
    </xf>
    <xf numFmtId="0" fontId="5" fillId="0" borderId="1" xfId="2" applyFont="1" applyBorder="1"/>
    <xf numFmtId="0" fontId="5" fillId="0" borderId="0" xfId="2" applyBorder="1" applyAlignment="1">
      <alignment horizontal="center"/>
    </xf>
    <xf numFmtId="2" fontId="5" fillId="0" borderId="0" xfId="2" applyNumberFormat="1" applyBorder="1" applyAlignment="1">
      <alignment horizontal="center"/>
    </xf>
    <xf numFmtId="2" fontId="5" fillId="0" borderId="1" xfId="2" applyNumberFormat="1" applyBorder="1"/>
    <xf numFmtId="0" fontId="5" fillId="0" borderId="0" xfId="2" applyFont="1" applyBorder="1"/>
    <xf numFmtId="0" fontId="32" fillId="0" borderId="0" xfId="2" applyFont="1"/>
    <xf numFmtId="0" fontId="33" fillId="0" borderId="0" xfId="2" applyFont="1" applyBorder="1" applyAlignment="1">
      <alignment horizontal="center"/>
    </xf>
    <xf numFmtId="2" fontId="5" fillId="0" borderId="0" xfId="2" applyNumberFormat="1" applyBorder="1"/>
    <xf numFmtId="0" fontId="5" fillId="0" borderId="0" xfId="2" applyFont="1" applyBorder="1" applyAlignment="1">
      <alignment horizontal="right"/>
    </xf>
    <xf numFmtId="2" fontId="5" fillId="0" borderId="0" xfId="2" applyNumberFormat="1" applyFont="1" applyBorder="1" applyAlignment="1">
      <alignment horizontal="left"/>
    </xf>
    <xf numFmtId="0" fontId="5" fillId="0" borderId="0" xfId="2" applyFont="1" applyBorder="1" applyAlignment="1">
      <alignment horizontal="center"/>
    </xf>
    <xf numFmtId="0" fontId="32" fillId="0" borderId="0" xfId="2" applyFont="1" applyBorder="1" applyAlignment="1">
      <alignment horizontal="center"/>
    </xf>
    <xf numFmtId="0" fontId="32" fillId="0" borderId="0" xfId="2" applyFont="1" applyBorder="1" applyAlignment="1">
      <alignment horizontal="left"/>
    </xf>
    <xf numFmtId="0" fontId="5" fillId="0" borderId="5" xfId="2" applyBorder="1"/>
    <xf numFmtId="0" fontId="5" fillId="0" borderId="1" xfId="2" applyFont="1" applyFill="1" applyBorder="1"/>
    <xf numFmtId="2" fontId="32" fillId="0" borderId="0" xfId="2" applyNumberFormat="1" applyFont="1" applyBorder="1" applyAlignment="1">
      <alignment horizontal="center"/>
    </xf>
    <xf numFmtId="0" fontId="5" fillId="0" borderId="0" xfId="2" applyBorder="1" applyAlignment="1"/>
    <xf numFmtId="0" fontId="5" fillId="2" borderId="19" xfId="0" applyFont="1" applyFill="1" applyBorder="1" applyAlignment="1">
      <alignment horizontal="right"/>
    </xf>
    <xf numFmtId="0" fontId="5" fillId="2" borderId="0" xfId="2" applyFont="1" applyFill="1" applyBorder="1" applyAlignment="1">
      <alignment horizontal="right" vertical="center"/>
    </xf>
    <xf numFmtId="0" fontId="5" fillId="2" borderId="0" xfId="2" applyFont="1" applyFill="1" applyBorder="1" applyAlignment="1">
      <alignment horizontal="right" vertical="center"/>
    </xf>
    <xf numFmtId="0" fontId="5" fillId="2" borderId="0" xfId="2" applyFont="1" applyFill="1" applyBorder="1" applyAlignment="1">
      <alignment horizontal="right" vertical="center"/>
    </xf>
    <xf numFmtId="0" fontId="5" fillId="0" borderId="1" xfId="0" applyFont="1" applyBorder="1" applyAlignment="1">
      <alignment horizontal="right"/>
    </xf>
    <xf numFmtId="11" fontId="0" fillId="0" borderId="0" xfId="0" applyNumberFormat="1" applyFill="1" applyBorder="1" applyAlignment="1" applyProtection="1">
      <alignment horizontal="center" vertical="center"/>
      <protection locked="0"/>
    </xf>
    <xf numFmtId="0" fontId="0" fillId="10" borderId="5" xfId="0" applyFill="1" applyBorder="1" applyAlignment="1" applyProtection="1">
      <alignment horizontal="center" vertical="center"/>
      <protection locked="0"/>
    </xf>
    <xf numFmtId="0" fontId="43" fillId="2" borderId="19" xfId="2" applyFont="1" applyFill="1" applyBorder="1" applyAlignment="1">
      <alignment vertical="top" wrapText="1"/>
    </xf>
    <xf numFmtId="0" fontId="18" fillId="2" borderId="19" xfId="1" applyFill="1" applyBorder="1" applyAlignment="1" applyProtection="1"/>
    <xf numFmtId="0" fontId="18" fillId="3" borderId="19" xfId="1" applyFill="1" applyBorder="1" applyAlignment="1" applyProtection="1">
      <alignment horizontal="left"/>
    </xf>
    <xf numFmtId="0" fontId="31" fillId="0" borderId="0" xfId="0" applyFont="1" applyAlignment="1">
      <alignment horizontal="center"/>
    </xf>
    <xf numFmtId="0" fontId="27" fillId="7" borderId="19" xfId="0" applyFont="1" applyFill="1" applyBorder="1"/>
    <xf numFmtId="0" fontId="0" fillId="7" borderId="0" xfId="0" applyFill="1" applyBorder="1"/>
    <xf numFmtId="2" fontId="0" fillId="0" borderId="1" xfId="0" applyNumberFormat="1" applyFill="1" applyBorder="1" applyAlignment="1" applyProtection="1">
      <alignment horizontal="center" vertical="center"/>
    </xf>
    <xf numFmtId="0" fontId="18" fillId="3" borderId="19" xfId="1" applyFill="1" applyBorder="1" applyAlignment="1" applyProtection="1">
      <alignment horizontal="left" vertical="top" wrapText="1"/>
    </xf>
    <xf numFmtId="0" fontId="0" fillId="3" borderId="15" xfId="0" applyFill="1" applyBorder="1" applyAlignment="1" applyProtection="1">
      <alignment horizontal="center" vertical="center"/>
      <protection locked="0"/>
    </xf>
    <xf numFmtId="2" fontId="0" fillId="0" borderId="0" xfId="0" applyNumberFormat="1" applyBorder="1" applyAlignment="1">
      <alignment horizontal="center"/>
    </xf>
    <xf numFmtId="0" fontId="0" fillId="0" borderId="1" xfId="0" applyBorder="1" applyAlignment="1">
      <alignment horizontal="right"/>
    </xf>
    <xf numFmtId="0" fontId="0" fillId="3" borderId="20" xfId="0" applyFill="1" applyBorder="1" applyAlignment="1">
      <alignment horizontal="center"/>
    </xf>
    <xf numFmtId="0" fontId="1" fillId="0" borderId="0" xfId="16"/>
    <xf numFmtId="9" fontId="1" fillId="0" borderId="0" xfId="16" applyNumberFormat="1" applyAlignment="1">
      <alignment horizontal="center"/>
    </xf>
    <xf numFmtId="0" fontId="1" fillId="0" borderId="0" xfId="16" applyAlignment="1">
      <alignment horizontal="center"/>
    </xf>
    <xf numFmtId="0" fontId="51" fillId="0" borderId="0" xfId="16" applyFont="1" applyAlignment="1">
      <alignment horizontal="center"/>
    </xf>
    <xf numFmtId="0" fontId="1" fillId="17" borderId="1" xfId="16" applyFill="1" applyBorder="1" applyAlignment="1">
      <alignment horizontal="center" vertical="center"/>
    </xf>
    <xf numFmtId="2" fontId="1" fillId="0" borderId="0" xfId="16" applyNumberFormat="1"/>
    <xf numFmtId="1" fontId="1" fillId="13" borderId="1" xfId="16" applyNumberFormat="1" applyFill="1" applyBorder="1" applyAlignment="1">
      <alignment horizontal="center"/>
    </xf>
    <xf numFmtId="1" fontId="1" fillId="14" borderId="1" xfId="16" applyNumberFormat="1" applyFill="1" applyBorder="1" applyAlignment="1">
      <alignment horizontal="center"/>
    </xf>
    <xf numFmtId="1" fontId="1" fillId="9" borderId="1" xfId="16" applyNumberFormat="1" applyFill="1" applyBorder="1" applyAlignment="1">
      <alignment horizontal="center"/>
    </xf>
    <xf numFmtId="1" fontId="1" fillId="18" borderId="1" xfId="16" applyNumberFormat="1" applyFill="1" applyBorder="1" applyAlignment="1">
      <alignment horizontal="center"/>
    </xf>
    <xf numFmtId="1" fontId="1" fillId="16" borderId="1" xfId="16" applyNumberFormat="1" applyFill="1" applyBorder="1" applyAlignment="1">
      <alignment horizontal="center"/>
    </xf>
    <xf numFmtId="1" fontId="1" fillId="17" borderId="1" xfId="16" applyNumberFormat="1" applyFill="1" applyBorder="1" applyAlignment="1">
      <alignment horizontal="center" vertical="center"/>
    </xf>
    <xf numFmtId="0" fontId="51" fillId="0" borderId="0" xfId="16" applyFont="1"/>
    <xf numFmtId="0" fontId="55" fillId="0" borderId="0" xfId="17" applyFont="1" applyAlignment="1"/>
    <xf numFmtId="0" fontId="56" fillId="19" borderId="37" xfId="16" applyFont="1" applyFill="1" applyBorder="1" applyAlignment="1">
      <alignment horizontal="center" vertical="center" wrapText="1"/>
    </xf>
    <xf numFmtId="165" fontId="57" fillId="0" borderId="37" xfId="16" applyNumberFormat="1" applyFont="1" applyBorder="1" applyAlignment="1">
      <alignment vertical="center" wrapText="1"/>
    </xf>
    <xf numFmtId="165" fontId="1" fillId="0" borderId="0" xfId="16" applyNumberFormat="1"/>
    <xf numFmtId="0" fontId="5" fillId="3" borderId="4" xfId="0" applyFont="1" applyFill="1" applyBorder="1" applyAlignment="1">
      <alignment horizontal="right" vertical="center"/>
    </xf>
    <xf numFmtId="0" fontId="0" fillId="3" borderId="4" xfId="0" applyFill="1" applyBorder="1" applyAlignment="1">
      <alignment horizontal="center"/>
    </xf>
    <xf numFmtId="0" fontId="0" fillId="3" borderId="4" xfId="0" applyFill="1" applyBorder="1"/>
    <xf numFmtId="0" fontId="0" fillId="3" borderId="20" xfId="0" applyFill="1" applyBorder="1"/>
    <xf numFmtId="0" fontId="0" fillId="3" borderId="26" xfId="0" applyFill="1" applyBorder="1"/>
    <xf numFmtId="0" fontId="0" fillId="3" borderId="0" xfId="0" applyFill="1" applyAlignment="1">
      <alignment horizontal="right"/>
    </xf>
    <xf numFmtId="0" fontId="5" fillId="3" borderId="7" xfId="0" applyFont="1" applyFill="1" applyBorder="1" applyAlignment="1">
      <alignment horizontal="right" vertical="center"/>
    </xf>
    <xf numFmtId="0" fontId="0" fillId="3" borderId="4" xfId="0" applyFill="1" applyBorder="1" applyAlignment="1">
      <alignment horizontal="right" vertical="center"/>
    </xf>
    <xf numFmtId="0" fontId="5" fillId="6" borderId="8" xfId="0" applyFont="1" applyFill="1" applyBorder="1" applyAlignment="1" applyProtection="1">
      <alignment horizontal="center" vertical="center"/>
      <protection locked="0"/>
    </xf>
    <xf numFmtId="0" fontId="34" fillId="2" borderId="0" xfId="0" applyFont="1" applyFill="1" applyBorder="1" applyAlignment="1">
      <alignment horizontal="right" vertical="center"/>
    </xf>
    <xf numFmtId="0" fontId="34" fillId="3" borderId="1" xfId="0" applyFont="1" applyFill="1" applyBorder="1" applyAlignment="1" applyProtection="1">
      <alignment horizontal="center" vertical="center"/>
      <protection locked="0"/>
    </xf>
    <xf numFmtId="0" fontId="27" fillId="7" borderId="0" xfId="0" applyFont="1" applyFill="1" applyBorder="1"/>
    <xf numFmtId="0" fontId="5" fillId="6" borderId="1" xfId="2" applyFill="1" applyBorder="1" applyAlignment="1" applyProtection="1">
      <alignment horizontal="center" vertical="center"/>
      <protection locked="0"/>
    </xf>
    <xf numFmtId="2" fontId="5" fillId="0" borderId="38" xfId="0" applyNumberFormat="1" applyFont="1" applyFill="1" applyBorder="1" applyAlignment="1" applyProtection="1">
      <alignment horizontal="center" vertical="center"/>
    </xf>
    <xf numFmtId="0" fontId="5" fillId="2" borderId="26" xfId="0" applyFont="1" applyFill="1" applyBorder="1" applyAlignment="1">
      <alignment horizontal="center" vertical="center"/>
    </xf>
    <xf numFmtId="0" fontId="0" fillId="0" borderId="0" xfId="0" applyProtection="1">
      <protection hidden="1"/>
    </xf>
    <xf numFmtId="0" fontId="5" fillId="0" borderId="0" xfId="0" applyFont="1" applyProtection="1">
      <protection hidden="1"/>
    </xf>
    <xf numFmtId="0" fontId="0" fillId="0" borderId="0" xfId="0" applyFont="1" applyAlignment="1" applyProtection="1">
      <alignment vertical="center"/>
      <protection hidden="1"/>
    </xf>
    <xf numFmtId="2" fontId="0" fillId="0" borderId="0" xfId="0" applyNumberFormat="1" applyFont="1" applyAlignment="1" applyProtection="1">
      <alignment vertical="center"/>
      <protection hidden="1"/>
    </xf>
    <xf numFmtId="0" fontId="6" fillId="0" borderId="0" xfId="0" applyFont="1" applyProtection="1">
      <protection hidden="1"/>
    </xf>
    <xf numFmtId="0" fontId="18" fillId="3" borderId="19" xfId="1" applyFill="1" applyBorder="1" applyAlignment="1" applyProtection="1">
      <alignment horizontal="left" wrapText="1"/>
    </xf>
    <xf numFmtId="165" fontId="0" fillId="2" borderId="1" xfId="0" applyNumberFormat="1" applyFill="1" applyBorder="1" applyAlignment="1" applyProtection="1">
      <alignment horizontal="center" vertical="center"/>
      <protection hidden="1"/>
    </xf>
    <xf numFmtId="2" fontId="0" fillId="6" borderId="1" xfId="0" applyNumberFormat="1" applyFill="1" applyBorder="1" applyAlignment="1" applyProtection="1">
      <alignment horizontal="center" vertical="center"/>
      <protection locked="0"/>
    </xf>
    <xf numFmtId="165" fontId="0" fillId="2" borderId="1" xfId="0" applyNumberFormat="1" applyFill="1" applyBorder="1" applyAlignment="1" applyProtection="1">
      <alignment horizontal="center" vertical="center"/>
    </xf>
    <xf numFmtId="2" fontId="0" fillId="0" borderId="1" xfId="0" applyNumberFormat="1" applyFill="1" applyBorder="1" applyAlignment="1" applyProtection="1">
      <alignment horizontal="center" vertical="center"/>
      <protection hidden="1"/>
    </xf>
    <xf numFmtId="165" fontId="0" fillId="0" borderId="1" xfId="0" applyNumberFormat="1" applyFill="1" applyBorder="1" applyAlignment="1" applyProtection="1">
      <alignment horizontal="center" vertical="center"/>
      <protection hidden="1"/>
    </xf>
    <xf numFmtId="2" fontId="0" fillId="2" borderId="1" xfId="0" applyNumberFormat="1"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2" fontId="0" fillId="3" borderId="1" xfId="0" applyNumberFormat="1" applyFill="1" applyBorder="1" applyAlignment="1" applyProtection="1">
      <alignment horizontal="center" vertical="center"/>
      <protection hidden="1"/>
    </xf>
    <xf numFmtId="2" fontId="0" fillId="2" borderId="6" xfId="0" applyNumberFormat="1" applyFill="1"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8" xfId="0" applyFill="1" applyBorder="1" applyAlignment="1" applyProtection="1">
      <alignment horizontal="center" vertical="center"/>
      <protection hidden="1"/>
    </xf>
    <xf numFmtId="0" fontId="0" fillId="2" borderId="1" xfId="0" applyNumberFormat="1" applyFill="1" applyBorder="1" applyAlignment="1" applyProtection="1">
      <alignment horizontal="center" vertical="center"/>
      <protection hidden="1"/>
    </xf>
    <xf numFmtId="0" fontId="0" fillId="2" borderId="5" xfId="0" applyNumberFormat="1" applyFill="1" applyBorder="1" applyAlignment="1" applyProtection="1">
      <alignment horizontal="center" vertical="center"/>
      <protection hidden="1"/>
    </xf>
    <xf numFmtId="165" fontId="0" fillId="2" borderId="5" xfId="0" applyNumberFormat="1" applyFill="1" applyBorder="1" applyAlignment="1" applyProtection="1">
      <alignment horizontal="center" vertical="center"/>
      <protection hidden="1"/>
    </xf>
    <xf numFmtId="165" fontId="5" fillId="2" borderId="5" xfId="0" applyNumberFormat="1" applyFont="1" applyFill="1" applyBorder="1" applyAlignment="1" applyProtection="1">
      <alignment horizontal="center" vertical="center"/>
      <protection hidden="1"/>
    </xf>
    <xf numFmtId="2" fontId="0" fillId="2" borderId="5" xfId="0" applyNumberFormat="1" applyFill="1" applyBorder="1" applyAlignment="1" applyProtection="1">
      <alignment horizontal="center" vertical="center"/>
      <protection hidden="1"/>
    </xf>
    <xf numFmtId="1" fontId="0" fillId="2" borderId="5" xfId="0" applyNumberFormat="1" applyFill="1" applyBorder="1" applyAlignment="1" applyProtection="1">
      <alignment horizontal="center" vertical="center"/>
      <protection hidden="1"/>
    </xf>
    <xf numFmtId="1" fontId="5" fillId="2" borderId="1" xfId="2" applyNumberFormat="1" applyFont="1" applyFill="1" applyBorder="1" applyAlignment="1" applyProtection="1">
      <alignment horizontal="center" vertical="center"/>
      <protection hidden="1"/>
    </xf>
    <xf numFmtId="167" fontId="0" fillId="0" borderId="1" xfId="0" applyNumberFormat="1" applyFill="1" applyBorder="1" applyAlignment="1" applyProtection="1">
      <alignment horizontal="center" vertical="center"/>
      <protection hidden="1"/>
    </xf>
    <xf numFmtId="0" fontId="44" fillId="2" borderId="19" xfId="0" applyFont="1" applyFill="1" applyBorder="1" applyAlignment="1">
      <alignment vertical="top" wrapText="1"/>
    </xf>
    <xf numFmtId="0" fontId="44" fillId="2" borderId="0" xfId="0" applyFont="1" applyFill="1" applyBorder="1" applyAlignment="1">
      <alignment vertical="top" wrapText="1"/>
    </xf>
    <xf numFmtId="0" fontId="18" fillId="3" borderId="19" xfId="1" applyFill="1" applyBorder="1" applyAlignment="1" applyProtection="1"/>
    <xf numFmtId="0" fontId="0" fillId="3" borderId="5" xfId="0" applyFill="1" applyBorder="1" applyAlignment="1" applyProtection="1">
      <alignment horizontal="center" vertical="center"/>
    </xf>
    <xf numFmtId="0" fontId="5" fillId="3" borderId="0" xfId="0" applyFont="1" applyFill="1" applyAlignment="1" applyProtection="1">
      <alignment horizontal="right"/>
      <protection locked="0"/>
    </xf>
    <xf numFmtId="0" fontId="18" fillId="5" borderId="0" xfId="1" applyFill="1" applyAlignment="1" applyProtection="1"/>
    <xf numFmtId="0" fontId="45" fillId="0" borderId="17"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4" xfId="0" applyFont="1" applyBorder="1" applyAlignment="1">
      <alignment horizontal="center" vertical="center" wrapText="1"/>
    </xf>
    <xf numFmtId="0" fontId="18" fillId="12" borderId="0" xfId="1" applyFill="1" applyAlignment="1" applyProtection="1">
      <alignment horizontal="left"/>
    </xf>
    <xf numFmtId="0" fontId="0" fillId="0" borderId="2" xfId="0" applyBorder="1" applyAlignment="1">
      <alignment horizontal="right"/>
    </xf>
    <xf numFmtId="0" fontId="0" fillId="0" borderId="6" xfId="0" applyBorder="1" applyAlignment="1">
      <alignment horizontal="right"/>
    </xf>
    <xf numFmtId="0" fontId="21" fillId="4" borderId="17" xfId="0" applyFont="1" applyFill="1" applyBorder="1" applyAlignment="1" applyProtection="1">
      <alignment horizontal="left" vertical="center"/>
    </xf>
    <xf numFmtId="0" fontId="21" fillId="4" borderId="18" xfId="0" applyFont="1" applyFill="1" applyBorder="1" applyAlignment="1" applyProtection="1">
      <alignment horizontal="left" vertical="center"/>
    </xf>
    <xf numFmtId="0" fontId="5" fillId="2" borderId="3" xfId="0" applyFont="1" applyFill="1" applyBorder="1" applyAlignment="1">
      <alignment horizontal="left" vertical="center" wrapText="1"/>
    </xf>
    <xf numFmtId="0" fontId="5" fillId="2" borderId="0" xfId="0" applyFont="1" applyFill="1" applyAlignment="1">
      <alignment horizontal="left" vertical="center" wrapText="1"/>
    </xf>
    <xf numFmtId="0" fontId="43" fillId="2" borderId="20" xfId="2" applyFont="1" applyFill="1" applyBorder="1" applyAlignment="1">
      <alignment horizontal="left" vertical="top" wrapText="1"/>
    </xf>
    <xf numFmtId="0" fontId="47" fillId="2" borderId="20" xfId="2" applyFont="1" applyFill="1" applyBorder="1" applyAlignment="1">
      <alignment horizontal="left" vertical="top" wrapText="1"/>
    </xf>
    <xf numFmtId="0" fontId="43" fillId="2" borderId="19" xfId="2" applyFont="1" applyFill="1" applyBorder="1" applyAlignment="1" applyProtection="1">
      <alignment horizontal="left" vertical="top" wrapText="1"/>
      <protection hidden="1"/>
    </xf>
    <xf numFmtId="0" fontId="43" fillId="2" borderId="19" xfId="2" applyFont="1" applyFill="1" applyBorder="1" applyAlignment="1">
      <alignment horizontal="left" vertical="top" wrapText="1"/>
    </xf>
    <xf numFmtId="0" fontId="17" fillId="3" borderId="0" xfId="0" applyFont="1" applyFill="1" applyBorder="1" applyAlignment="1" applyProtection="1">
      <alignment horizontal="center" vertical="center"/>
    </xf>
    <xf numFmtId="0" fontId="18" fillId="3" borderId="19" xfId="1" applyFill="1" applyBorder="1" applyAlignment="1" applyProtection="1">
      <alignment horizontal="left" wrapText="1"/>
    </xf>
    <xf numFmtId="0" fontId="31" fillId="0" borderId="0" xfId="0" applyFont="1" applyAlignment="1">
      <alignment horizontal="center"/>
    </xf>
    <xf numFmtId="0" fontId="32" fillId="0" borderId="0" xfId="0" applyFont="1" applyAlignment="1">
      <alignment horizontal="center"/>
    </xf>
    <xf numFmtId="0" fontId="6" fillId="0" borderId="0" xfId="0" applyFont="1" applyAlignment="1">
      <alignment horizontal="center"/>
    </xf>
    <xf numFmtId="0" fontId="31" fillId="0" borderId="1" xfId="2" applyFont="1" applyBorder="1" applyAlignment="1">
      <alignment horizontal="center"/>
    </xf>
    <xf numFmtId="0" fontId="5" fillId="0" borderId="5" xfId="2" applyFont="1" applyBorder="1" applyAlignment="1">
      <alignment horizontal="center"/>
    </xf>
    <xf numFmtId="0" fontId="5" fillId="0" borderId="5" xfId="2" applyBorder="1" applyAlignment="1">
      <alignment horizontal="center"/>
    </xf>
    <xf numFmtId="0" fontId="32" fillId="0" borderId="0" xfId="2" applyFont="1" applyBorder="1" applyAlignment="1">
      <alignment horizontal="center"/>
    </xf>
    <xf numFmtId="2" fontId="5" fillId="0" borderId="0" xfId="2" applyNumberFormat="1" applyFont="1" applyBorder="1" applyAlignment="1">
      <alignment horizontal="center"/>
    </xf>
    <xf numFmtId="2" fontId="5" fillId="0" borderId="0" xfId="2" applyNumberFormat="1" applyBorder="1" applyAlignment="1">
      <alignment horizontal="center"/>
    </xf>
    <xf numFmtId="0" fontId="1" fillId="9" borderId="1" xfId="16" applyFill="1" applyBorder="1" applyAlignment="1">
      <alignment horizontal="center" vertical="center"/>
    </xf>
    <xf numFmtId="0" fontId="1" fillId="15" borderId="1" xfId="16" applyFill="1" applyBorder="1" applyAlignment="1">
      <alignment horizontal="center" vertical="center"/>
    </xf>
    <xf numFmtId="0" fontId="1" fillId="16" borderId="1" xfId="16" applyFill="1" applyBorder="1" applyAlignment="1">
      <alignment horizontal="center" vertical="center"/>
    </xf>
    <xf numFmtId="0" fontId="53" fillId="0" borderId="0" xfId="16" applyFont="1" applyAlignment="1">
      <alignment horizontal="center"/>
    </xf>
    <xf numFmtId="0" fontId="1" fillId="13" borderId="1" xfId="16" applyFill="1" applyBorder="1" applyAlignment="1">
      <alignment horizontal="center" vertical="center"/>
    </xf>
    <xf numFmtId="0" fontId="1" fillId="14" borderId="1" xfId="16" applyFill="1" applyBorder="1" applyAlignment="1">
      <alignment horizontal="center" vertical="center"/>
    </xf>
  </cellXfs>
  <cellStyles count="18">
    <cellStyle name="ENTER VALUE" xfId="5" xr:uid="{00000000-0005-0000-0000-000000000000}"/>
    <cellStyle name="ENTER VALUE 2" xfId="9" xr:uid="{00000000-0005-0000-0000-000001000000}"/>
    <cellStyle name="ENTER VALUE 3" xfId="8" xr:uid="{00000000-0005-0000-0000-000002000000}"/>
    <cellStyle name="ENTER VALUE 4" xfId="7" xr:uid="{00000000-0005-0000-0000-000003000000}"/>
    <cellStyle name="Hyperlink" xfId="1" builtinId="8"/>
    <cellStyle name="Hyperlink 2" xfId="17" xr:uid="{3A91DDD4-DB7F-44C4-ACEF-82047C1242AC}"/>
    <cellStyle name="Normal" xfId="0" builtinId="0"/>
    <cellStyle name="Normal 2" xfId="2" xr:uid="{00000000-0005-0000-0000-000006000000}"/>
    <cellStyle name="Normal 3" xfId="10" xr:uid="{00000000-0005-0000-0000-000007000000}"/>
    <cellStyle name="Normal 3 2" xfId="11" xr:uid="{00000000-0005-0000-0000-000008000000}"/>
    <cellStyle name="Normal 3 2 2" xfId="15" xr:uid="{00000000-0005-0000-0000-000009000000}"/>
    <cellStyle name="Normal 3 3" xfId="14" xr:uid="{00000000-0005-0000-0000-00000A000000}"/>
    <cellStyle name="Normal 4" xfId="13" xr:uid="{00000000-0005-0000-0000-00000B000000}"/>
    <cellStyle name="Normal 5" xfId="12" xr:uid="{00000000-0005-0000-0000-00000C000000}"/>
    <cellStyle name="Normal 6" xfId="16" xr:uid="{E593B26D-ECA9-4EAA-95AD-762F097A4C4C}"/>
    <cellStyle name="Style 1" xfId="3" xr:uid="{00000000-0005-0000-0000-00000D000000}"/>
    <cellStyle name="Style 2" xfId="4" xr:uid="{00000000-0005-0000-0000-00000E000000}"/>
    <cellStyle name="UNIT" xfId="6" xr:uid="{00000000-0005-0000-0000-00000F000000}"/>
  </cellStyles>
  <dxfs count="42">
    <dxf>
      <font>
        <color theme="0"/>
      </font>
      <fill>
        <patternFill>
          <fgColor theme="0"/>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0000"/>
        </patternFill>
      </fill>
    </dxf>
    <dxf>
      <font>
        <color theme="0"/>
      </font>
      <fill>
        <patternFill>
          <bgColor theme="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color theme="0" tint="-0.24994659260841701"/>
      </font>
      <fill>
        <patternFill patternType="none">
          <bgColor auto="1"/>
        </patternFill>
      </fill>
    </dxf>
    <dxf>
      <font>
        <color theme="0"/>
      </font>
      <fill>
        <patternFill patternType="solid">
          <bgColor theme="0"/>
        </patternFill>
      </fill>
      <border>
        <left/>
        <right/>
      </border>
    </dxf>
    <dxf>
      <font>
        <color theme="0"/>
      </font>
    </dxf>
    <dxf>
      <font>
        <color theme="0"/>
      </font>
      <fill>
        <patternFill>
          <bgColor theme="0"/>
        </patternFill>
      </fill>
      <border>
        <left/>
        <right/>
        <top style="thin">
          <color auto="1"/>
        </top>
        <bottom/>
        <vertical/>
        <horizontal/>
      </border>
    </dxf>
    <dxf>
      <font>
        <color theme="0"/>
      </font>
    </dxf>
    <dxf>
      <font>
        <color theme="0"/>
      </font>
    </dxf>
    <dxf>
      <fill>
        <patternFill>
          <bgColor indexed="10"/>
        </patternFill>
      </fill>
    </dxf>
    <dxf>
      <fill>
        <patternFill>
          <bgColor indexed="1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s>
  <tableStyles count="0" defaultTableStyle="TableStyleMedium9" defaultPivotStyle="PivotStyleLight16"/>
  <colors>
    <mruColors>
      <color rgb="FFFF5050"/>
      <color rgb="FF0053F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Equations!$R$202:$R$221</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Equations!$V$202:$V$221</c:f>
              <c:numCache>
                <c:formatCode>0.00</c:formatCode>
                <c:ptCount val="20"/>
                <c:pt idx="0">
                  <c:v>223.50039300832395</c:v>
                </c:pt>
                <c:pt idx="1">
                  <c:v>111.75019650416198</c:v>
                </c:pt>
                <c:pt idx="2">
                  <c:v>74.500131002774651</c:v>
                </c:pt>
                <c:pt idx="3">
                  <c:v>55.875098252080988</c:v>
                </c:pt>
                <c:pt idx="4">
                  <c:v>44.700078601664792</c:v>
                </c:pt>
                <c:pt idx="5">
                  <c:v>37.250065501387326</c:v>
                </c:pt>
                <c:pt idx="6">
                  <c:v>31.928627572617707</c:v>
                </c:pt>
                <c:pt idx="7">
                  <c:v>27.937549126040494</c:v>
                </c:pt>
                <c:pt idx="8">
                  <c:v>24.833377000924884</c:v>
                </c:pt>
                <c:pt idx="9">
                  <c:v>22.350039300832396</c:v>
                </c:pt>
                <c:pt idx="10">
                  <c:v>20.318217546211269</c:v>
                </c:pt>
                <c:pt idx="11">
                  <c:v>18.625032750693663</c:v>
                </c:pt>
                <c:pt idx="12">
                  <c:v>17.192337923717226</c:v>
                </c:pt>
                <c:pt idx="13">
                  <c:v>15.964313786308853</c:v>
                </c:pt>
                <c:pt idx="14">
                  <c:v>14.90002620055493</c:v>
                </c:pt>
                <c:pt idx="15">
                  <c:v>13.968774563020247</c:v>
                </c:pt>
                <c:pt idx="16">
                  <c:v>13.147081941666116</c:v>
                </c:pt>
                <c:pt idx="17">
                  <c:v>12.416688500462442</c:v>
                </c:pt>
                <c:pt idx="18">
                  <c:v>11.763178579385471</c:v>
                </c:pt>
                <c:pt idx="19">
                  <c:v>11.175019650416198</c:v>
                </c:pt>
              </c:numCache>
            </c:numRef>
          </c:yVal>
          <c:smooth val="0"/>
          <c:extLst>
            <c:ext xmlns:c16="http://schemas.microsoft.com/office/drawing/2014/chart" uri="{C3380CC4-5D6E-409C-BE32-E72D297353CC}">
              <c16:uniqueId val="{00000000-7F48-4337-8891-69C88240DA73}"/>
            </c:ext>
          </c:extLst>
        </c:ser>
        <c:ser>
          <c:idx val="1"/>
          <c:order val="1"/>
          <c:tx>
            <c:v>Typ Device SOA Limit</c:v>
          </c:tx>
          <c:spPr>
            <a:ln w="25400">
              <a:solidFill>
                <a:srgbClr val="FF0000"/>
              </a:solidFill>
              <a:prstDash val="solid"/>
            </a:ln>
          </c:spPr>
          <c:marker>
            <c:symbol val="none"/>
          </c:marker>
          <c:xVal>
            <c:numRef>
              <c:f>Equations!$R$202:$R$221</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Equations!$T$202:$T$221</c:f>
              <c:numCache>
                <c:formatCode>0.00</c:formatCode>
                <c:ptCount val="20"/>
                <c:pt idx="0">
                  <c:v>15</c:v>
                </c:pt>
                <c:pt idx="1">
                  <c:v>15</c:v>
                </c:pt>
                <c:pt idx="2">
                  <c:v>11.200000000000001</c:v>
                </c:pt>
                <c:pt idx="3">
                  <c:v>8.4</c:v>
                </c:pt>
                <c:pt idx="4">
                  <c:v>6.7200000000000006</c:v>
                </c:pt>
                <c:pt idx="5">
                  <c:v>5.6000000000000005</c:v>
                </c:pt>
                <c:pt idx="6">
                  <c:v>4.8</c:v>
                </c:pt>
                <c:pt idx="7">
                  <c:v>4.2</c:v>
                </c:pt>
                <c:pt idx="8">
                  <c:v>3.7333333333333334</c:v>
                </c:pt>
                <c:pt idx="9">
                  <c:v>3.3600000000000003</c:v>
                </c:pt>
                <c:pt idx="10">
                  <c:v>3.0545454545454547</c:v>
                </c:pt>
                <c:pt idx="11">
                  <c:v>2.8000000000000003</c:v>
                </c:pt>
                <c:pt idx="12">
                  <c:v>2.5846153846153848</c:v>
                </c:pt>
                <c:pt idx="13">
                  <c:v>2.4</c:v>
                </c:pt>
                <c:pt idx="14">
                  <c:v>2.2400000000000002</c:v>
                </c:pt>
                <c:pt idx="15">
                  <c:v>2.1</c:v>
                </c:pt>
                <c:pt idx="16">
                  <c:v>5.0000000000000003E-10</c:v>
                </c:pt>
                <c:pt idx="17">
                  <c:v>5.0000000000000003E-10</c:v>
                </c:pt>
                <c:pt idx="18">
                  <c:v>5.0000000000000003E-10</c:v>
                </c:pt>
                <c:pt idx="19">
                  <c:v>5.0000000000000003E-10</c:v>
                </c:pt>
              </c:numCache>
            </c:numRef>
          </c:yVal>
          <c:smooth val="0"/>
          <c:extLst>
            <c:ext xmlns:c16="http://schemas.microsoft.com/office/drawing/2014/chart" uri="{C3380CC4-5D6E-409C-BE32-E72D297353CC}">
              <c16:uniqueId val="{00000001-7F48-4337-8891-69C88240DA73}"/>
            </c:ext>
          </c:extLst>
        </c:ser>
        <c:dLbls>
          <c:showLegendKey val="0"/>
          <c:showVal val="0"/>
          <c:showCatName val="0"/>
          <c:showSerName val="0"/>
          <c:showPercent val="0"/>
          <c:showBubbleSize val="0"/>
        </c:dLbls>
        <c:axId val="177332224"/>
        <c:axId val="177334528"/>
      </c:scatterChart>
      <c:valAx>
        <c:axId val="177332224"/>
        <c:scaling>
          <c:logBase val="10"/>
          <c:orientation val="minMax"/>
          <c:max val="5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7334528"/>
        <c:crossesAt val="0.1"/>
        <c:crossBetween val="midCat"/>
      </c:valAx>
      <c:valAx>
        <c:axId val="177334528"/>
        <c:scaling>
          <c:logBase val="10"/>
          <c:orientation val="minMax"/>
          <c:max val="1000"/>
          <c:min val="0.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77332224"/>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264457343660538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Start_up!$B$10:$B$114</c:f>
              <c:numCache>
                <c:formatCode>0.00</c:formatCode>
                <c:ptCount val="105"/>
                <c:pt idx="0">
                  <c:v>0</c:v>
                </c:pt>
                <c:pt idx="1">
                  <c:v>0.15384615384615385</c:v>
                </c:pt>
                <c:pt idx="2">
                  <c:v>0.30769230769230771</c:v>
                </c:pt>
                <c:pt idx="3">
                  <c:v>0.46153846153846156</c:v>
                </c:pt>
                <c:pt idx="4">
                  <c:v>0.61538461538461542</c:v>
                </c:pt>
                <c:pt idx="5">
                  <c:v>0.76923076923076927</c:v>
                </c:pt>
                <c:pt idx="6">
                  <c:v>0.92307692307692313</c:v>
                </c:pt>
                <c:pt idx="7">
                  <c:v>1.0769230769230769</c:v>
                </c:pt>
                <c:pt idx="8">
                  <c:v>1.2307692307692308</c:v>
                </c:pt>
                <c:pt idx="9">
                  <c:v>1.3846153846153846</c:v>
                </c:pt>
                <c:pt idx="10">
                  <c:v>1.5384615384615385</c:v>
                </c:pt>
                <c:pt idx="11">
                  <c:v>1.6923076923076923</c:v>
                </c:pt>
                <c:pt idx="12">
                  <c:v>1.8461538461538463</c:v>
                </c:pt>
                <c:pt idx="13">
                  <c:v>2</c:v>
                </c:pt>
                <c:pt idx="14">
                  <c:v>2.1538461538461537</c:v>
                </c:pt>
                <c:pt idx="15">
                  <c:v>2.3076923076923075</c:v>
                </c:pt>
                <c:pt idx="16">
                  <c:v>2.4615384615384617</c:v>
                </c:pt>
                <c:pt idx="17">
                  <c:v>2.6153846153846154</c:v>
                </c:pt>
                <c:pt idx="18">
                  <c:v>2.7692307692307692</c:v>
                </c:pt>
                <c:pt idx="19">
                  <c:v>2.9230769230769229</c:v>
                </c:pt>
                <c:pt idx="20">
                  <c:v>3.0769230769230771</c:v>
                </c:pt>
                <c:pt idx="21">
                  <c:v>3.2307692307692308</c:v>
                </c:pt>
                <c:pt idx="22">
                  <c:v>3.3846153846153846</c:v>
                </c:pt>
                <c:pt idx="23">
                  <c:v>3.5384615384615383</c:v>
                </c:pt>
                <c:pt idx="24">
                  <c:v>3.6923076923076925</c:v>
                </c:pt>
                <c:pt idx="25">
                  <c:v>3.8461538461538463</c:v>
                </c:pt>
                <c:pt idx="26">
                  <c:v>4</c:v>
                </c:pt>
                <c:pt idx="27">
                  <c:v>4.1538461538461542</c:v>
                </c:pt>
                <c:pt idx="28">
                  <c:v>4.3076923076923075</c:v>
                </c:pt>
                <c:pt idx="29">
                  <c:v>4.4615384615384617</c:v>
                </c:pt>
                <c:pt idx="30">
                  <c:v>4.615384615384615</c:v>
                </c:pt>
                <c:pt idx="31">
                  <c:v>4.7692307692307692</c:v>
                </c:pt>
                <c:pt idx="32">
                  <c:v>4.9230769230769234</c:v>
                </c:pt>
                <c:pt idx="33">
                  <c:v>5.0769230769230766</c:v>
                </c:pt>
                <c:pt idx="34">
                  <c:v>5.2307692307692308</c:v>
                </c:pt>
                <c:pt idx="35">
                  <c:v>5.384615384615385</c:v>
                </c:pt>
                <c:pt idx="36">
                  <c:v>5.5384615384615383</c:v>
                </c:pt>
                <c:pt idx="37">
                  <c:v>5.6923076923076925</c:v>
                </c:pt>
                <c:pt idx="38">
                  <c:v>5.8461538461538458</c:v>
                </c:pt>
                <c:pt idx="39">
                  <c:v>6</c:v>
                </c:pt>
                <c:pt idx="40">
                  <c:v>6.1538461538461542</c:v>
                </c:pt>
                <c:pt idx="41">
                  <c:v>6.3076923076923075</c:v>
                </c:pt>
                <c:pt idx="42">
                  <c:v>6.4615384615384617</c:v>
                </c:pt>
                <c:pt idx="43">
                  <c:v>6.615384615384615</c:v>
                </c:pt>
                <c:pt idx="44">
                  <c:v>6.7692307692307692</c:v>
                </c:pt>
                <c:pt idx="45">
                  <c:v>6.9230769230769234</c:v>
                </c:pt>
                <c:pt idx="46">
                  <c:v>7.0769230769230766</c:v>
                </c:pt>
                <c:pt idx="47">
                  <c:v>7.2307692307692308</c:v>
                </c:pt>
                <c:pt idx="48">
                  <c:v>7.384615384615385</c:v>
                </c:pt>
                <c:pt idx="49">
                  <c:v>7.5384615384615383</c:v>
                </c:pt>
                <c:pt idx="50">
                  <c:v>7.6923076923076925</c:v>
                </c:pt>
                <c:pt idx="51">
                  <c:v>7.8461538461538458</c:v>
                </c:pt>
                <c:pt idx="52">
                  <c:v>8</c:v>
                </c:pt>
                <c:pt idx="53">
                  <c:v>8.1538461538461533</c:v>
                </c:pt>
                <c:pt idx="54">
                  <c:v>8.3076923076923084</c:v>
                </c:pt>
                <c:pt idx="55">
                  <c:v>8.4615384615384617</c:v>
                </c:pt>
                <c:pt idx="56">
                  <c:v>8.615384615384615</c:v>
                </c:pt>
                <c:pt idx="57">
                  <c:v>8.7692307692307701</c:v>
                </c:pt>
                <c:pt idx="58">
                  <c:v>8.9230769230769234</c:v>
                </c:pt>
                <c:pt idx="59">
                  <c:v>9.0769230769230766</c:v>
                </c:pt>
                <c:pt idx="60">
                  <c:v>9.2307692307692299</c:v>
                </c:pt>
                <c:pt idx="61">
                  <c:v>9.384615384615385</c:v>
                </c:pt>
                <c:pt idx="62">
                  <c:v>9.5384615384615383</c:v>
                </c:pt>
                <c:pt idx="63">
                  <c:v>9.6923076923076916</c:v>
                </c:pt>
                <c:pt idx="64">
                  <c:v>9.8461538461538467</c:v>
                </c:pt>
                <c:pt idx="65">
                  <c:v>10</c:v>
                </c:pt>
                <c:pt idx="66">
                  <c:v>10.153846153846153</c:v>
                </c:pt>
                <c:pt idx="67">
                  <c:v>10.307692307692308</c:v>
                </c:pt>
                <c:pt idx="68">
                  <c:v>10.461538461538462</c:v>
                </c:pt>
                <c:pt idx="69">
                  <c:v>10.615384615384615</c:v>
                </c:pt>
                <c:pt idx="70">
                  <c:v>10.76923076923077</c:v>
                </c:pt>
                <c:pt idx="71">
                  <c:v>10.923076923076923</c:v>
                </c:pt>
                <c:pt idx="72">
                  <c:v>11.076923076923077</c:v>
                </c:pt>
                <c:pt idx="73">
                  <c:v>11.23076923076923</c:v>
                </c:pt>
                <c:pt idx="74">
                  <c:v>11.384615384615385</c:v>
                </c:pt>
                <c:pt idx="75">
                  <c:v>11.538461538461538</c:v>
                </c:pt>
                <c:pt idx="76">
                  <c:v>11.692307692307692</c:v>
                </c:pt>
                <c:pt idx="77">
                  <c:v>11.846153846153847</c:v>
                </c:pt>
                <c:pt idx="78">
                  <c:v>12</c:v>
                </c:pt>
                <c:pt idx="79">
                  <c:v>12.153846153846153</c:v>
                </c:pt>
                <c:pt idx="80">
                  <c:v>12.307692307692308</c:v>
                </c:pt>
                <c:pt idx="81">
                  <c:v>12.461538461538462</c:v>
                </c:pt>
                <c:pt idx="82">
                  <c:v>12.615384615384615</c:v>
                </c:pt>
                <c:pt idx="83">
                  <c:v>12.76923076923077</c:v>
                </c:pt>
                <c:pt idx="84">
                  <c:v>12.923076923076923</c:v>
                </c:pt>
                <c:pt idx="85">
                  <c:v>13.076923076923077</c:v>
                </c:pt>
                <c:pt idx="86">
                  <c:v>13.23076923076923</c:v>
                </c:pt>
                <c:pt idx="87">
                  <c:v>13.384615384615385</c:v>
                </c:pt>
                <c:pt idx="88">
                  <c:v>13.538461538461538</c:v>
                </c:pt>
                <c:pt idx="89">
                  <c:v>13.692307692307692</c:v>
                </c:pt>
                <c:pt idx="90">
                  <c:v>13.846153846153847</c:v>
                </c:pt>
                <c:pt idx="91">
                  <c:v>14</c:v>
                </c:pt>
                <c:pt idx="92">
                  <c:v>14.153846153846153</c:v>
                </c:pt>
                <c:pt idx="93">
                  <c:v>14.307692307692308</c:v>
                </c:pt>
                <c:pt idx="94">
                  <c:v>14.461538461538462</c:v>
                </c:pt>
                <c:pt idx="95">
                  <c:v>14.615384615384615</c:v>
                </c:pt>
                <c:pt idx="96">
                  <c:v>14.76923076923077</c:v>
                </c:pt>
                <c:pt idx="97">
                  <c:v>14.923076923076923</c:v>
                </c:pt>
                <c:pt idx="98">
                  <c:v>15.076923076923077</c:v>
                </c:pt>
                <c:pt idx="99">
                  <c:v>15.23076923076923</c:v>
                </c:pt>
                <c:pt idx="100">
                  <c:v>15.384615384615385</c:v>
                </c:pt>
                <c:pt idx="101">
                  <c:v>15.538461538461538</c:v>
                </c:pt>
                <c:pt idx="102">
                  <c:v>15.692307692307692</c:v>
                </c:pt>
                <c:pt idx="103">
                  <c:v>15.846153846153847</c:v>
                </c:pt>
                <c:pt idx="104">
                  <c:v>16</c:v>
                </c:pt>
              </c:numCache>
            </c:numRef>
          </c:xVal>
          <c:yVal>
            <c:numRef>
              <c:f>Start_up!$C$10:$C$114</c:f>
              <c:numCache>
                <c:formatCode>0.000</c:formatCode>
                <c:ptCount val="1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6</c:v>
                </c:pt>
                <c:pt idx="40">
                  <c:v>6.1538461538461542</c:v>
                </c:pt>
                <c:pt idx="41">
                  <c:v>6.3076923076923075</c:v>
                </c:pt>
                <c:pt idx="42">
                  <c:v>6.4615384615384617</c:v>
                </c:pt>
                <c:pt idx="43">
                  <c:v>6.615384615384615</c:v>
                </c:pt>
                <c:pt idx="44">
                  <c:v>6.7692307692307692</c:v>
                </c:pt>
                <c:pt idx="45">
                  <c:v>6.9230769230769234</c:v>
                </c:pt>
                <c:pt idx="46">
                  <c:v>7.0769230769230766</c:v>
                </c:pt>
                <c:pt idx="47">
                  <c:v>7.2307692307692308</c:v>
                </c:pt>
                <c:pt idx="48">
                  <c:v>7.384615384615385</c:v>
                </c:pt>
                <c:pt idx="49">
                  <c:v>7.5384615384615383</c:v>
                </c:pt>
                <c:pt idx="50">
                  <c:v>7.6923076923076925</c:v>
                </c:pt>
                <c:pt idx="51">
                  <c:v>7.8461538461538458</c:v>
                </c:pt>
                <c:pt idx="52">
                  <c:v>8</c:v>
                </c:pt>
                <c:pt idx="53">
                  <c:v>8.1538461538461533</c:v>
                </c:pt>
                <c:pt idx="54">
                  <c:v>8.3076923076923084</c:v>
                </c:pt>
                <c:pt idx="55">
                  <c:v>8.4615384615384617</c:v>
                </c:pt>
                <c:pt idx="56">
                  <c:v>8.615384615384615</c:v>
                </c:pt>
                <c:pt idx="57">
                  <c:v>8.7692307692307701</c:v>
                </c:pt>
                <c:pt idx="58">
                  <c:v>8.9230769230769234</c:v>
                </c:pt>
                <c:pt idx="59">
                  <c:v>9.0769230769230766</c:v>
                </c:pt>
                <c:pt idx="60">
                  <c:v>9.2307692307692299</c:v>
                </c:pt>
                <c:pt idx="61">
                  <c:v>9.384615384615385</c:v>
                </c:pt>
                <c:pt idx="62">
                  <c:v>9.5384615384615383</c:v>
                </c:pt>
                <c:pt idx="63">
                  <c:v>9.6923076923076916</c:v>
                </c:pt>
                <c:pt idx="64">
                  <c:v>9.8461538461538467</c:v>
                </c:pt>
                <c:pt idx="65">
                  <c:v>10</c:v>
                </c:pt>
                <c:pt idx="66">
                  <c:v>10.153846153846153</c:v>
                </c:pt>
                <c:pt idx="67">
                  <c:v>10.307692307692308</c:v>
                </c:pt>
                <c:pt idx="68">
                  <c:v>10.461538461538462</c:v>
                </c:pt>
                <c:pt idx="69">
                  <c:v>10.615384615384615</c:v>
                </c:pt>
                <c:pt idx="70">
                  <c:v>10.76923076923077</c:v>
                </c:pt>
                <c:pt idx="71">
                  <c:v>10.923076923076923</c:v>
                </c:pt>
                <c:pt idx="72">
                  <c:v>11.076923076923077</c:v>
                </c:pt>
                <c:pt idx="73">
                  <c:v>11.23076923076923</c:v>
                </c:pt>
                <c:pt idx="74">
                  <c:v>11.384615384615385</c:v>
                </c:pt>
                <c:pt idx="75">
                  <c:v>11.538461538461538</c:v>
                </c:pt>
                <c:pt idx="76">
                  <c:v>11.692307692307692</c:v>
                </c:pt>
                <c:pt idx="77">
                  <c:v>11.846153846153847</c:v>
                </c:pt>
                <c:pt idx="78">
                  <c:v>12</c:v>
                </c:pt>
                <c:pt idx="79">
                  <c:v>12.153846153846153</c:v>
                </c:pt>
                <c:pt idx="80">
                  <c:v>12.307692307692308</c:v>
                </c:pt>
                <c:pt idx="81">
                  <c:v>12.461538461538462</c:v>
                </c:pt>
                <c:pt idx="82">
                  <c:v>12.615384615384615</c:v>
                </c:pt>
                <c:pt idx="83">
                  <c:v>12.76923076923077</c:v>
                </c:pt>
                <c:pt idx="84">
                  <c:v>12.923076923076923</c:v>
                </c:pt>
                <c:pt idx="85">
                  <c:v>13.076923076923077</c:v>
                </c:pt>
                <c:pt idx="86">
                  <c:v>13.23076923076923</c:v>
                </c:pt>
                <c:pt idx="87">
                  <c:v>13.384615384615385</c:v>
                </c:pt>
                <c:pt idx="88">
                  <c:v>13.538461538461538</c:v>
                </c:pt>
                <c:pt idx="89">
                  <c:v>13.692307692307692</c:v>
                </c:pt>
                <c:pt idx="90">
                  <c:v>13.846153846153847</c:v>
                </c:pt>
                <c:pt idx="91">
                  <c:v>14</c:v>
                </c:pt>
                <c:pt idx="92">
                  <c:v>14.153846153846153</c:v>
                </c:pt>
                <c:pt idx="93">
                  <c:v>14.307692307692308</c:v>
                </c:pt>
                <c:pt idx="94">
                  <c:v>14.461538461538462</c:v>
                </c:pt>
                <c:pt idx="95">
                  <c:v>14.615384615384615</c:v>
                </c:pt>
                <c:pt idx="96">
                  <c:v>14.76923076923077</c:v>
                </c:pt>
                <c:pt idx="97">
                  <c:v>14.923076923076923</c:v>
                </c:pt>
                <c:pt idx="98">
                  <c:v>15.076923076923077</c:v>
                </c:pt>
                <c:pt idx="99">
                  <c:v>15.23076923076923</c:v>
                </c:pt>
                <c:pt idx="100">
                  <c:v>15.384615384615385</c:v>
                </c:pt>
                <c:pt idx="101">
                  <c:v>15.538461538461538</c:v>
                </c:pt>
                <c:pt idx="102">
                  <c:v>15.692307692307692</c:v>
                </c:pt>
                <c:pt idx="103">
                  <c:v>15.846153846153847</c:v>
                </c:pt>
                <c:pt idx="104">
                  <c:v>16</c:v>
                </c:pt>
              </c:numCache>
            </c:numRef>
          </c:yVal>
          <c:smooth val="1"/>
          <c:extLst>
            <c:ext xmlns:c16="http://schemas.microsoft.com/office/drawing/2014/chart" uri="{C3380CC4-5D6E-409C-BE32-E72D297353CC}">
              <c16:uniqueId val="{00000000-E02D-4119-A901-A31CE200F553}"/>
            </c:ext>
          </c:extLst>
        </c:ser>
        <c:ser>
          <c:idx val="1"/>
          <c:order val="1"/>
          <c:tx>
            <c:strRef>
              <c:f>Start_up!$G$7</c:f>
              <c:strCache>
                <c:ptCount val="1"/>
                <c:pt idx="0">
                  <c:v>IFET</c:v>
                </c:pt>
              </c:strCache>
            </c:strRef>
          </c:tx>
          <c:marker>
            <c:symbol val="none"/>
          </c:marker>
          <c:xVal>
            <c:numRef>
              <c:f>Start_up!$B$10:$B$114</c:f>
              <c:numCache>
                <c:formatCode>0.00</c:formatCode>
                <c:ptCount val="105"/>
                <c:pt idx="0">
                  <c:v>0</c:v>
                </c:pt>
                <c:pt idx="1">
                  <c:v>0.15384615384615385</c:v>
                </c:pt>
                <c:pt idx="2">
                  <c:v>0.30769230769230771</c:v>
                </c:pt>
                <c:pt idx="3">
                  <c:v>0.46153846153846156</c:v>
                </c:pt>
                <c:pt idx="4">
                  <c:v>0.61538461538461542</c:v>
                </c:pt>
                <c:pt idx="5">
                  <c:v>0.76923076923076927</c:v>
                </c:pt>
                <c:pt idx="6">
                  <c:v>0.92307692307692313</c:v>
                </c:pt>
                <c:pt idx="7">
                  <c:v>1.0769230769230769</c:v>
                </c:pt>
                <c:pt idx="8">
                  <c:v>1.2307692307692308</c:v>
                </c:pt>
                <c:pt idx="9">
                  <c:v>1.3846153846153846</c:v>
                </c:pt>
                <c:pt idx="10">
                  <c:v>1.5384615384615385</c:v>
                </c:pt>
                <c:pt idx="11">
                  <c:v>1.6923076923076923</c:v>
                </c:pt>
                <c:pt idx="12">
                  <c:v>1.8461538461538463</c:v>
                </c:pt>
                <c:pt idx="13">
                  <c:v>2</c:v>
                </c:pt>
                <c:pt idx="14">
                  <c:v>2.1538461538461537</c:v>
                </c:pt>
                <c:pt idx="15">
                  <c:v>2.3076923076923075</c:v>
                </c:pt>
                <c:pt idx="16">
                  <c:v>2.4615384615384617</c:v>
                </c:pt>
                <c:pt idx="17">
                  <c:v>2.6153846153846154</c:v>
                </c:pt>
                <c:pt idx="18">
                  <c:v>2.7692307692307692</c:v>
                </c:pt>
                <c:pt idx="19">
                  <c:v>2.9230769230769229</c:v>
                </c:pt>
                <c:pt idx="20">
                  <c:v>3.0769230769230771</c:v>
                </c:pt>
                <c:pt idx="21">
                  <c:v>3.2307692307692308</c:v>
                </c:pt>
                <c:pt idx="22">
                  <c:v>3.3846153846153846</c:v>
                </c:pt>
                <c:pt idx="23">
                  <c:v>3.5384615384615383</c:v>
                </c:pt>
                <c:pt idx="24">
                  <c:v>3.6923076923076925</c:v>
                </c:pt>
                <c:pt idx="25">
                  <c:v>3.8461538461538463</c:v>
                </c:pt>
                <c:pt idx="26">
                  <c:v>4</c:v>
                </c:pt>
                <c:pt idx="27">
                  <c:v>4.1538461538461542</c:v>
                </c:pt>
                <c:pt idx="28">
                  <c:v>4.3076923076923075</c:v>
                </c:pt>
                <c:pt idx="29">
                  <c:v>4.4615384615384617</c:v>
                </c:pt>
                <c:pt idx="30">
                  <c:v>4.615384615384615</c:v>
                </c:pt>
                <c:pt idx="31">
                  <c:v>4.7692307692307692</c:v>
                </c:pt>
                <c:pt idx="32">
                  <c:v>4.9230769230769234</c:v>
                </c:pt>
                <c:pt idx="33">
                  <c:v>5.0769230769230766</c:v>
                </c:pt>
                <c:pt idx="34">
                  <c:v>5.2307692307692308</c:v>
                </c:pt>
                <c:pt idx="35">
                  <c:v>5.384615384615385</c:v>
                </c:pt>
                <c:pt idx="36">
                  <c:v>5.5384615384615383</c:v>
                </c:pt>
                <c:pt idx="37">
                  <c:v>5.6923076923076925</c:v>
                </c:pt>
                <c:pt idx="38">
                  <c:v>5.8461538461538458</c:v>
                </c:pt>
                <c:pt idx="39">
                  <c:v>6</c:v>
                </c:pt>
                <c:pt idx="40">
                  <c:v>6.1538461538461542</c:v>
                </c:pt>
                <c:pt idx="41">
                  <c:v>6.3076923076923075</c:v>
                </c:pt>
                <c:pt idx="42">
                  <c:v>6.4615384615384617</c:v>
                </c:pt>
                <c:pt idx="43">
                  <c:v>6.615384615384615</c:v>
                </c:pt>
                <c:pt idx="44">
                  <c:v>6.7692307692307692</c:v>
                </c:pt>
                <c:pt idx="45">
                  <c:v>6.9230769230769234</c:v>
                </c:pt>
                <c:pt idx="46">
                  <c:v>7.0769230769230766</c:v>
                </c:pt>
                <c:pt idx="47">
                  <c:v>7.2307692307692308</c:v>
                </c:pt>
                <c:pt idx="48">
                  <c:v>7.384615384615385</c:v>
                </c:pt>
                <c:pt idx="49">
                  <c:v>7.5384615384615383</c:v>
                </c:pt>
                <c:pt idx="50">
                  <c:v>7.6923076923076925</c:v>
                </c:pt>
                <c:pt idx="51">
                  <c:v>7.8461538461538458</c:v>
                </c:pt>
                <c:pt idx="52">
                  <c:v>8</c:v>
                </c:pt>
                <c:pt idx="53">
                  <c:v>8.1538461538461533</c:v>
                </c:pt>
                <c:pt idx="54">
                  <c:v>8.3076923076923084</c:v>
                </c:pt>
                <c:pt idx="55">
                  <c:v>8.4615384615384617</c:v>
                </c:pt>
                <c:pt idx="56">
                  <c:v>8.615384615384615</c:v>
                </c:pt>
                <c:pt idx="57">
                  <c:v>8.7692307692307701</c:v>
                </c:pt>
                <c:pt idx="58">
                  <c:v>8.9230769230769234</c:v>
                </c:pt>
                <c:pt idx="59">
                  <c:v>9.0769230769230766</c:v>
                </c:pt>
                <c:pt idx="60">
                  <c:v>9.2307692307692299</c:v>
                </c:pt>
                <c:pt idx="61">
                  <c:v>9.384615384615385</c:v>
                </c:pt>
                <c:pt idx="62">
                  <c:v>9.5384615384615383</c:v>
                </c:pt>
                <c:pt idx="63">
                  <c:v>9.6923076923076916</c:v>
                </c:pt>
                <c:pt idx="64">
                  <c:v>9.8461538461538467</c:v>
                </c:pt>
                <c:pt idx="65">
                  <c:v>10</c:v>
                </c:pt>
                <c:pt idx="66">
                  <c:v>10.153846153846153</c:v>
                </c:pt>
                <c:pt idx="67">
                  <c:v>10.307692307692308</c:v>
                </c:pt>
                <c:pt idx="68">
                  <c:v>10.461538461538462</c:v>
                </c:pt>
                <c:pt idx="69">
                  <c:v>10.615384615384615</c:v>
                </c:pt>
                <c:pt idx="70">
                  <c:v>10.76923076923077</c:v>
                </c:pt>
                <c:pt idx="71">
                  <c:v>10.923076923076923</c:v>
                </c:pt>
                <c:pt idx="72">
                  <c:v>11.076923076923077</c:v>
                </c:pt>
                <c:pt idx="73">
                  <c:v>11.23076923076923</c:v>
                </c:pt>
                <c:pt idx="74">
                  <c:v>11.384615384615385</c:v>
                </c:pt>
                <c:pt idx="75">
                  <c:v>11.538461538461538</c:v>
                </c:pt>
                <c:pt idx="76">
                  <c:v>11.692307692307692</c:v>
                </c:pt>
                <c:pt idx="77">
                  <c:v>11.846153846153847</c:v>
                </c:pt>
                <c:pt idx="78">
                  <c:v>12</c:v>
                </c:pt>
                <c:pt idx="79">
                  <c:v>12.153846153846153</c:v>
                </c:pt>
                <c:pt idx="80">
                  <c:v>12.307692307692308</c:v>
                </c:pt>
                <c:pt idx="81">
                  <c:v>12.461538461538462</c:v>
                </c:pt>
                <c:pt idx="82">
                  <c:v>12.615384615384615</c:v>
                </c:pt>
                <c:pt idx="83">
                  <c:v>12.76923076923077</c:v>
                </c:pt>
                <c:pt idx="84">
                  <c:v>12.923076923076923</c:v>
                </c:pt>
                <c:pt idx="85">
                  <c:v>13.076923076923077</c:v>
                </c:pt>
                <c:pt idx="86">
                  <c:v>13.23076923076923</c:v>
                </c:pt>
                <c:pt idx="87">
                  <c:v>13.384615384615385</c:v>
                </c:pt>
                <c:pt idx="88">
                  <c:v>13.538461538461538</c:v>
                </c:pt>
                <c:pt idx="89">
                  <c:v>13.692307692307692</c:v>
                </c:pt>
                <c:pt idx="90">
                  <c:v>13.846153846153847</c:v>
                </c:pt>
                <c:pt idx="91">
                  <c:v>14</c:v>
                </c:pt>
                <c:pt idx="92">
                  <c:v>14.153846153846153</c:v>
                </c:pt>
                <c:pt idx="93">
                  <c:v>14.307692307692308</c:v>
                </c:pt>
                <c:pt idx="94">
                  <c:v>14.461538461538462</c:v>
                </c:pt>
                <c:pt idx="95">
                  <c:v>14.615384615384615</c:v>
                </c:pt>
                <c:pt idx="96">
                  <c:v>14.76923076923077</c:v>
                </c:pt>
                <c:pt idx="97">
                  <c:v>14.923076923076923</c:v>
                </c:pt>
                <c:pt idx="98">
                  <c:v>15.076923076923077</c:v>
                </c:pt>
                <c:pt idx="99">
                  <c:v>15.23076923076923</c:v>
                </c:pt>
                <c:pt idx="100">
                  <c:v>15.384615384615385</c:v>
                </c:pt>
                <c:pt idx="101">
                  <c:v>15.538461538461538</c:v>
                </c:pt>
                <c:pt idx="102">
                  <c:v>15.692307692307692</c:v>
                </c:pt>
                <c:pt idx="103">
                  <c:v>15.846153846153847</c:v>
                </c:pt>
                <c:pt idx="104">
                  <c:v>16</c:v>
                </c:pt>
              </c:numCache>
            </c:numRef>
          </c:xVal>
          <c:yVal>
            <c:numRef>
              <c:f>Start_up!$G$10:$G$114</c:f>
              <c:numCache>
                <c:formatCode>General</c:formatCode>
                <c:ptCount val="105"/>
                <c:pt idx="0">
                  <c:v>0.55000000000000004</c:v>
                </c:pt>
                <c:pt idx="1">
                  <c:v>0.55000000000000004</c:v>
                </c:pt>
                <c:pt idx="2">
                  <c:v>0.55000000000000004</c:v>
                </c:pt>
                <c:pt idx="3">
                  <c:v>0.55000000000000004</c:v>
                </c:pt>
                <c:pt idx="4">
                  <c:v>0.55000000000000004</c:v>
                </c:pt>
                <c:pt idx="5">
                  <c:v>0.55000000000000004</c:v>
                </c:pt>
                <c:pt idx="6">
                  <c:v>0.55000000000000004</c:v>
                </c:pt>
                <c:pt idx="7">
                  <c:v>0.55000000000000004</c:v>
                </c:pt>
                <c:pt idx="8">
                  <c:v>0.55000000000000004</c:v>
                </c:pt>
                <c:pt idx="9">
                  <c:v>0.55000000000000004</c:v>
                </c:pt>
                <c:pt idx="10">
                  <c:v>0.55000000000000004</c:v>
                </c:pt>
                <c:pt idx="11">
                  <c:v>0.55000000000000004</c:v>
                </c:pt>
                <c:pt idx="12">
                  <c:v>0.55000000000000004</c:v>
                </c:pt>
                <c:pt idx="13">
                  <c:v>0.55000000000000004</c:v>
                </c:pt>
                <c:pt idx="14">
                  <c:v>0.55000000000000004</c:v>
                </c:pt>
                <c:pt idx="15">
                  <c:v>0.55000000000000004</c:v>
                </c:pt>
                <c:pt idx="16">
                  <c:v>0.55000000000000004</c:v>
                </c:pt>
                <c:pt idx="17">
                  <c:v>0.55000000000000004</c:v>
                </c:pt>
                <c:pt idx="18">
                  <c:v>0.55000000000000004</c:v>
                </c:pt>
                <c:pt idx="19">
                  <c:v>0.55000000000000004</c:v>
                </c:pt>
                <c:pt idx="20">
                  <c:v>0.55000000000000004</c:v>
                </c:pt>
                <c:pt idx="21">
                  <c:v>0.55000000000000004</c:v>
                </c:pt>
                <c:pt idx="22">
                  <c:v>0.55000000000000004</c:v>
                </c:pt>
                <c:pt idx="23">
                  <c:v>0.55000000000000004</c:v>
                </c:pt>
                <c:pt idx="24">
                  <c:v>0.55000000000000004</c:v>
                </c:pt>
                <c:pt idx="25">
                  <c:v>0.55000000000000004</c:v>
                </c:pt>
                <c:pt idx="26">
                  <c:v>0.55000000000000004</c:v>
                </c:pt>
                <c:pt idx="27">
                  <c:v>0.55000000000000004</c:v>
                </c:pt>
                <c:pt idx="28">
                  <c:v>0.55000000000000004</c:v>
                </c:pt>
                <c:pt idx="29">
                  <c:v>0.55000000000000004</c:v>
                </c:pt>
                <c:pt idx="30">
                  <c:v>0.55000000000000004</c:v>
                </c:pt>
                <c:pt idx="31">
                  <c:v>0.55000000000000004</c:v>
                </c:pt>
                <c:pt idx="32">
                  <c:v>0.55000000000000004</c:v>
                </c:pt>
                <c:pt idx="33">
                  <c:v>0.55000000000000004</c:v>
                </c:pt>
                <c:pt idx="34">
                  <c:v>0.55000000000000004</c:v>
                </c:pt>
                <c:pt idx="35">
                  <c:v>0.55000000000000004</c:v>
                </c:pt>
                <c:pt idx="36">
                  <c:v>0.55000000000000004</c:v>
                </c:pt>
                <c:pt idx="37">
                  <c:v>0.55000000000000004</c:v>
                </c:pt>
                <c:pt idx="38">
                  <c:v>0.55000000000000004</c:v>
                </c:pt>
                <c:pt idx="39">
                  <c:v>6.55</c:v>
                </c:pt>
                <c:pt idx="40">
                  <c:v>6.703846153846154</c:v>
                </c:pt>
                <c:pt idx="41">
                  <c:v>6.8576923076923073</c:v>
                </c:pt>
                <c:pt idx="42">
                  <c:v>7.0115384615384615</c:v>
                </c:pt>
                <c:pt idx="43">
                  <c:v>7.1653846153846148</c:v>
                </c:pt>
                <c:pt idx="44">
                  <c:v>7.319230769230769</c:v>
                </c:pt>
                <c:pt idx="45">
                  <c:v>7.4730769230769232</c:v>
                </c:pt>
                <c:pt idx="46">
                  <c:v>7.6269230769230765</c:v>
                </c:pt>
                <c:pt idx="47">
                  <c:v>7.7807692307692307</c:v>
                </c:pt>
                <c:pt idx="48">
                  <c:v>7.9346153846153848</c:v>
                </c:pt>
                <c:pt idx="49">
                  <c:v>8.088461538461539</c:v>
                </c:pt>
                <c:pt idx="50">
                  <c:v>8.2423076923076923</c:v>
                </c:pt>
                <c:pt idx="51">
                  <c:v>8.3961538461538456</c:v>
                </c:pt>
                <c:pt idx="52">
                  <c:v>8.5500000000000007</c:v>
                </c:pt>
                <c:pt idx="53">
                  <c:v>8.703846153846154</c:v>
                </c:pt>
                <c:pt idx="54">
                  <c:v>8.8576923076923091</c:v>
                </c:pt>
                <c:pt idx="55">
                  <c:v>9.0115384615384624</c:v>
                </c:pt>
                <c:pt idx="56">
                  <c:v>9.1653846153846157</c:v>
                </c:pt>
                <c:pt idx="57">
                  <c:v>9.3192307692307708</c:v>
                </c:pt>
                <c:pt idx="58">
                  <c:v>9.4730769230769241</c:v>
                </c:pt>
                <c:pt idx="59">
                  <c:v>9.6269230769230774</c:v>
                </c:pt>
                <c:pt idx="60">
                  <c:v>9.7807692307692307</c:v>
                </c:pt>
                <c:pt idx="61">
                  <c:v>9.9346153846153857</c:v>
                </c:pt>
                <c:pt idx="62">
                  <c:v>10.088461538461539</c:v>
                </c:pt>
                <c:pt idx="63">
                  <c:v>10.242307692307692</c:v>
                </c:pt>
                <c:pt idx="64">
                  <c:v>10.396153846153847</c:v>
                </c:pt>
                <c:pt idx="65">
                  <c:v>10.55</c:v>
                </c:pt>
                <c:pt idx="66">
                  <c:v>10.703846153846154</c:v>
                </c:pt>
                <c:pt idx="67">
                  <c:v>10.857692307692309</c:v>
                </c:pt>
                <c:pt idx="68">
                  <c:v>11.011538461538462</c:v>
                </c:pt>
                <c:pt idx="69">
                  <c:v>11.165384615384616</c:v>
                </c:pt>
                <c:pt idx="70">
                  <c:v>11.319230769230771</c:v>
                </c:pt>
                <c:pt idx="71">
                  <c:v>11.473076923076924</c:v>
                </c:pt>
                <c:pt idx="72">
                  <c:v>11.626923076923077</c:v>
                </c:pt>
                <c:pt idx="73">
                  <c:v>11.780769230769231</c:v>
                </c:pt>
                <c:pt idx="74">
                  <c:v>11.934615384615386</c:v>
                </c:pt>
                <c:pt idx="75">
                  <c:v>12.088461538461539</c:v>
                </c:pt>
                <c:pt idx="76">
                  <c:v>12.242307692307692</c:v>
                </c:pt>
                <c:pt idx="77">
                  <c:v>12.396153846153847</c:v>
                </c:pt>
                <c:pt idx="78">
                  <c:v>12.55</c:v>
                </c:pt>
                <c:pt idx="79">
                  <c:v>12.703846153846154</c:v>
                </c:pt>
                <c:pt idx="80">
                  <c:v>12.857692307692309</c:v>
                </c:pt>
                <c:pt idx="81">
                  <c:v>13.011538461538462</c:v>
                </c:pt>
                <c:pt idx="82">
                  <c:v>13.165384615384616</c:v>
                </c:pt>
                <c:pt idx="83">
                  <c:v>13.319230769230771</c:v>
                </c:pt>
                <c:pt idx="84">
                  <c:v>13.473076923076924</c:v>
                </c:pt>
                <c:pt idx="85">
                  <c:v>13.626923076923077</c:v>
                </c:pt>
                <c:pt idx="86">
                  <c:v>13.780769230769231</c:v>
                </c:pt>
                <c:pt idx="87">
                  <c:v>13.934615384615386</c:v>
                </c:pt>
                <c:pt idx="88">
                  <c:v>14.088461538461539</c:v>
                </c:pt>
                <c:pt idx="89">
                  <c:v>14.242307692307692</c:v>
                </c:pt>
                <c:pt idx="90">
                  <c:v>14.396153846153847</c:v>
                </c:pt>
                <c:pt idx="91">
                  <c:v>14.55</c:v>
                </c:pt>
                <c:pt idx="92">
                  <c:v>14.703846153846154</c:v>
                </c:pt>
                <c:pt idx="93">
                  <c:v>14.857692307692309</c:v>
                </c:pt>
                <c:pt idx="94">
                  <c:v>15.011538461538462</c:v>
                </c:pt>
                <c:pt idx="95">
                  <c:v>15.165384615384616</c:v>
                </c:pt>
                <c:pt idx="96">
                  <c:v>15.319230769230771</c:v>
                </c:pt>
                <c:pt idx="97">
                  <c:v>15.473076923076924</c:v>
                </c:pt>
                <c:pt idx="98">
                  <c:v>15.626923076923077</c:v>
                </c:pt>
                <c:pt idx="99">
                  <c:v>15.780769230769231</c:v>
                </c:pt>
                <c:pt idx="100">
                  <c:v>15.934615384615386</c:v>
                </c:pt>
                <c:pt idx="101">
                  <c:v>16.088461538461537</c:v>
                </c:pt>
                <c:pt idx="102">
                  <c:v>16.242307692307691</c:v>
                </c:pt>
                <c:pt idx="103">
                  <c:v>16.396153846153847</c:v>
                </c:pt>
                <c:pt idx="104">
                  <c:v>16.55</c:v>
                </c:pt>
              </c:numCache>
            </c:numRef>
          </c:yVal>
          <c:smooth val="1"/>
          <c:extLst>
            <c:ext xmlns:c16="http://schemas.microsoft.com/office/drawing/2014/chart" uri="{C3380CC4-5D6E-409C-BE32-E72D297353CC}">
              <c16:uniqueId val="{00000001-E02D-4119-A901-A31CE200F553}"/>
            </c:ext>
          </c:extLst>
        </c:ser>
        <c:dLbls>
          <c:showLegendKey val="0"/>
          <c:showVal val="0"/>
          <c:showCatName val="0"/>
          <c:showSerName val="0"/>
          <c:showPercent val="0"/>
          <c:showBubbleSize val="0"/>
        </c:dLbls>
        <c:axId val="583185920"/>
        <c:axId val="583201920"/>
      </c:scatterChart>
      <c:valAx>
        <c:axId val="583185920"/>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n-US"/>
          </a:p>
        </c:txPr>
        <c:crossAx val="583201920"/>
        <c:crosses val="autoZero"/>
        <c:crossBetween val="midCat"/>
      </c:valAx>
      <c:valAx>
        <c:axId val="583201920"/>
        <c:scaling>
          <c:orientation val="minMax"/>
        </c:scaling>
        <c:delete val="0"/>
        <c:axPos val="l"/>
        <c:majorGridlines/>
        <c:minorGridlines/>
        <c:title>
          <c:tx>
            <c:rich>
              <a:bodyPr rot="-5400000" vert="horz"/>
              <a:lstStyle/>
              <a:p>
                <a:pPr>
                  <a:defRPr/>
                </a:pPr>
                <a:r>
                  <a:rPr lang="en-US"/>
                  <a:t>Current (mA)</a:t>
                </a:r>
              </a:p>
            </c:rich>
          </c:tx>
          <c:layout>
            <c:manualLayout>
              <c:xMode val="edge"/>
              <c:yMode val="edge"/>
              <c:x val="1.8649933950945E-2"/>
              <c:y val="0.32808378438817248"/>
            </c:manualLayout>
          </c:layout>
          <c:overlay val="0"/>
        </c:title>
        <c:numFmt formatCode="0.000" sourceLinked="0"/>
        <c:majorTickMark val="out"/>
        <c:minorTickMark val="none"/>
        <c:tickLblPos val="nextTo"/>
        <c:txPr>
          <a:bodyPr/>
          <a:lstStyle/>
          <a:p>
            <a:pPr>
              <a:defRPr sz="950" b="1" baseline="0"/>
            </a:pPr>
            <a:endParaRPr lang="en-US"/>
          </a:p>
        </c:txPr>
        <c:crossAx val="583185920"/>
        <c:crosses val="autoZero"/>
        <c:crossBetween val="midCat"/>
      </c:valAx>
    </c:plotArea>
    <c:legend>
      <c:legendPos val="r"/>
      <c:layout>
        <c:manualLayout>
          <c:xMode val="edge"/>
          <c:yMode val="edge"/>
          <c:x val="0.17948138421044507"/>
          <c:y val="0.18817949003451728"/>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0.15384615384615385</c:v>
                </c:pt>
                <c:pt idx="2">
                  <c:v>0.30769230769230771</c:v>
                </c:pt>
                <c:pt idx="3">
                  <c:v>0.46153846153846156</c:v>
                </c:pt>
                <c:pt idx="4">
                  <c:v>0.61538461538461542</c:v>
                </c:pt>
                <c:pt idx="5">
                  <c:v>0.76923076923076927</c:v>
                </c:pt>
                <c:pt idx="6">
                  <c:v>0.92307692307692313</c:v>
                </c:pt>
                <c:pt idx="7">
                  <c:v>1.0769230769230769</c:v>
                </c:pt>
                <c:pt idx="8">
                  <c:v>1.2307692307692308</c:v>
                </c:pt>
                <c:pt idx="9">
                  <c:v>1.3846153846153846</c:v>
                </c:pt>
                <c:pt idx="10">
                  <c:v>1.5384615384615385</c:v>
                </c:pt>
                <c:pt idx="11">
                  <c:v>1.6923076923076923</c:v>
                </c:pt>
                <c:pt idx="12">
                  <c:v>1.8461538461538463</c:v>
                </c:pt>
                <c:pt idx="13">
                  <c:v>2</c:v>
                </c:pt>
                <c:pt idx="14">
                  <c:v>2.1538461538461537</c:v>
                </c:pt>
                <c:pt idx="15">
                  <c:v>2.3076923076923075</c:v>
                </c:pt>
                <c:pt idx="16">
                  <c:v>2.4615384615384617</c:v>
                </c:pt>
                <c:pt idx="17">
                  <c:v>2.6153846153846154</c:v>
                </c:pt>
                <c:pt idx="18">
                  <c:v>2.7692307692307692</c:v>
                </c:pt>
                <c:pt idx="19">
                  <c:v>2.9230769230769229</c:v>
                </c:pt>
                <c:pt idx="20">
                  <c:v>3.0769230769230771</c:v>
                </c:pt>
                <c:pt idx="21">
                  <c:v>3.2307692307692308</c:v>
                </c:pt>
                <c:pt idx="22">
                  <c:v>3.3846153846153846</c:v>
                </c:pt>
                <c:pt idx="23">
                  <c:v>3.5384615384615383</c:v>
                </c:pt>
                <c:pt idx="24">
                  <c:v>3.6923076923076925</c:v>
                </c:pt>
                <c:pt idx="25">
                  <c:v>3.8461538461538463</c:v>
                </c:pt>
                <c:pt idx="26">
                  <c:v>4</c:v>
                </c:pt>
                <c:pt idx="27">
                  <c:v>4.1538461538461542</c:v>
                </c:pt>
                <c:pt idx="28">
                  <c:v>4.3076923076923075</c:v>
                </c:pt>
                <c:pt idx="29">
                  <c:v>4.4615384615384617</c:v>
                </c:pt>
                <c:pt idx="30">
                  <c:v>4.615384615384615</c:v>
                </c:pt>
                <c:pt idx="31">
                  <c:v>4.7692307692307692</c:v>
                </c:pt>
                <c:pt idx="32">
                  <c:v>4.9230769230769234</c:v>
                </c:pt>
                <c:pt idx="33">
                  <c:v>5.0769230769230766</c:v>
                </c:pt>
                <c:pt idx="34">
                  <c:v>5.2307692307692308</c:v>
                </c:pt>
                <c:pt idx="35">
                  <c:v>5.384615384615385</c:v>
                </c:pt>
                <c:pt idx="36">
                  <c:v>5.5384615384615383</c:v>
                </c:pt>
                <c:pt idx="37">
                  <c:v>5.6923076923076925</c:v>
                </c:pt>
                <c:pt idx="38">
                  <c:v>5.8461538461538458</c:v>
                </c:pt>
                <c:pt idx="39">
                  <c:v>6</c:v>
                </c:pt>
                <c:pt idx="40">
                  <c:v>6.1538461538461542</c:v>
                </c:pt>
                <c:pt idx="41">
                  <c:v>6.3076923076923075</c:v>
                </c:pt>
                <c:pt idx="42">
                  <c:v>6.4615384615384617</c:v>
                </c:pt>
                <c:pt idx="43">
                  <c:v>6.615384615384615</c:v>
                </c:pt>
                <c:pt idx="44">
                  <c:v>6.7692307692307692</c:v>
                </c:pt>
                <c:pt idx="45">
                  <c:v>6.9230769230769234</c:v>
                </c:pt>
                <c:pt idx="46">
                  <c:v>7.0769230769230766</c:v>
                </c:pt>
                <c:pt idx="47">
                  <c:v>7.2307692307692308</c:v>
                </c:pt>
                <c:pt idx="48">
                  <c:v>7.384615384615385</c:v>
                </c:pt>
                <c:pt idx="49">
                  <c:v>7.5384615384615383</c:v>
                </c:pt>
                <c:pt idx="50">
                  <c:v>7.6923076923076925</c:v>
                </c:pt>
                <c:pt idx="51">
                  <c:v>7.8461538461538458</c:v>
                </c:pt>
                <c:pt idx="52">
                  <c:v>8</c:v>
                </c:pt>
                <c:pt idx="53">
                  <c:v>8.1538461538461533</c:v>
                </c:pt>
                <c:pt idx="54">
                  <c:v>8.3076923076923084</c:v>
                </c:pt>
                <c:pt idx="55">
                  <c:v>8.4615384615384617</c:v>
                </c:pt>
                <c:pt idx="56">
                  <c:v>8.615384615384615</c:v>
                </c:pt>
                <c:pt idx="57">
                  <c:v>8.7692307692307701</c:v>
                </c:pt>
                <c:pt idx="58">
                  <c:v>8.9230769230769234</c:v>
                </c:pt>
                <c:pt idx="59">
                  <c:v>9.0769230769230766</c:v>
                </c:pt>
                <c:pt idx="60">
                  <c:v>9.2307692307692299</c:v>
                </c:pt>
                <c:pt idx="61">
                  <c:v>9.384615384615385</c:v>
                </c:pt>
                <c:pt idx="62">
                  <c:v>9.5384615384615383</c:v>
                </c:pt>
                <c:pt idx="63">
                  <c:v>9.6923076923076916</c:v>
                </c:pt>
                <c:pt idx="64">
                  <c:v>9.8461538461538467</c:v>
                </c:pt>
                <c:pt idx="65">
                  <c:v>10</c:v>
                </c:pt>
                <c:pt idx="66">
                  <c:v>10.153846153846153</c:v>
                </c:pt>
                <c:pt idx="67">
                  <c:v>10.307692307692308</c:v>
                </c:pt>
                <c:pt idx="68">
                  <c:v>10.461538461538462</c:v>
                </c:pt>
                <c:pt idx="69">
                  <c:v>10.615384615384615</c:v>
                </c:pt>
                <c:pt idx="70">
                  <c:v>10.76923076923077</c:v>
                </c:pt>
                <c:pt idx="71">
                  <c:v>10.923076923076923</c:v>
                </c:pt>
                <c:pt idx="72">
                  <c:v>11.076923076923077</c:v>
                </c:pt>
                <c:pt idx="73">
                  <c:v>11.23076923076923</c:v>
                </c:pt>
                <c:pt idx="74">
                  <c:v>11.384615384615385</c:v>
                </c:pt>
                <c:pt idx="75">
                  <c:v>11.538461538461538</c:v>
                </c:pt>
                <c:pt idx="76">
                  <c:v>11.692307692307692</c:v>
                </c:pt>
                <c:pt idx="77">
                  <c:v>11.846153846153847</c:v>
                </c:pt>
                <c:pt idx="78">
                  <c:v>12</c:v>
                </c:pt>
                <c:pt idx="79">
                  <c:v>12.153846153846153</c:v>
                </c:pt>
                <c:pt idx="80">
                  <c:v>12.307692307692308</c:v>
                </c:pt>
                <c:pt idx="81">
                  <c:v>12.461538461538462</c:v>
                </c:pt>
                <c:pt idx="82">
                  <c:v>12.615384615384615</c:v>
                </c:pt>
                <c:pt idx="83">
                  <c:v>12.76923076923077</c:v>
                </c:pt>
                <c:pt idx="84">
                  <c:v>12.923076923076923</c:v>
                </c:pt>
                <c:pt idx="85">
                  <c:v>13.076923076923077</c:v>
                </c:pt>
                <c:pt idx="86">
                  <c:v>13.23076923076923</c:v>
                </c:pt>
                <c:pt idx="87">
                  <c:v>13.384615384615385</c:v>
                </c:pt>
                <c:pt idx="88">
                  <c:v>13.538461538461538</c:v>
                </c:pt>
                <c:pt idx="89">
                  <c:v>13.692307692307692</c:v>
                </c:pt>
                <c:pt idx="90">
                  <c:v>13.846153846153847</c:v>
                </c:pt>
                <c:pt idx="91">
                  <c:v>14</c:v>
                </c:pt>
                <c:pt idx="92">
                  <c:v>14.153846153846153</c:v>
                </c:pt>
                <c:pt idx="93">
                  <c:v>14.307692307692308</c:v>
                </c:pt>
                <c:pt idx="94">
                  <c:v>14.461538461538462</c:v>
                </c:pt>
                <c:pt idx="95">
                  <c:v>14.615384615384615</c:v>
                </c:pt>
                <c:pt idx="96">
                  <c:v>14.76923076923077</c:v>
                </c:pt>
                <c:pt idx="97">
                  <c:v>14.923076923076923</c:v>
                </c:pt>
                <c:pt idx="98">
                  <c:v>15.076923076923077</c:v>
                </c:pt>
                <c:pt idx="99">
                  <c:v>15.23076923076923</c:v>
                </c:pt>
                <c:pt idx="100">
                  <c:v>15.384615384615385</c:v>
                </c:pt>
                <c:pt idx="101">
                  <c:v>15.538461538461538</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6</c:v>
                </c:pt>
                <c:pt idx="40">
                  <c:v>6.1538461538461542</c:v>
                </c:pt>
                <c:pt idx="41">
                  <c:v>6.3076923076923075</c:v>
                </c:pt>
                <c:pt idx="42">
                  <c:v>6.4615384615384617</c:v>
                </c:pt>
                <c:pt idx="43">
                  <c:v>6.615384615384615</c:v>
                </c:pt>
                <c:pt idx="44">
                  <c:v>6.7692307692307692</c:v>
                </c:pt>
                <c:pt idx="45">
                  <c:v>6.9230769230769234</c:v>
                </c:pt>
                <c:pt idx="46">
                  <c:v>7.0769230769230766</c:v>
                </c:pt>
                <c:pt idx="47">
                  <c:v>7.2307692307692308</c:v>
                </c:pt>
                <c:pt idx="48">
                  <c:v>7.384615384615385</c:v>
                </c:pt>
                <c:pt idx="49">
                  <c:v>7.5384615384615383</c:v>
                </c:pt>
                <c:pt idx="50">
                  <c:v>7.6923076923076925</c:v>
                </c:pt>
                <c:pt idx="51">
                  <c:v>7.8461538461538458</c:v>
                </c:pt>
                <c:pt idx="52">
                  <c:v>8</c:v>
                </c:pt>
                <c:pt idx="53">
                  <c:v>8.1538461538461533</c:v>
                </c:pt>
                <c:pt idx="54">
                  <c:v>8.3076923076923084</c:v>
                </c:pt>
                <c:pt idx="55">
                  <c:v>8.4615384615384617</c:v>
                </c:pt>
                <c:pt idx="56">
                  <c:v>8.615384615384615</c:v>
                </c:pt>
                <c:pt idx="57">
                  <c:v>8.7692307692307701</c:v>
                </c:pt>
                <c:pt idx="58">
                  <c:v>8.9230769230769234</c:v>
                </c:pt>
                <c:pt idx="59">
                  <c:v>9.0769230769230766</c:v>
                </c:pt>
                <c:pt idx="60">
                  <c:v>9.2307692307692299</c:v>
                </c:pt>
                <c:pt idx="61">
                  <c:v>9.384615384615385</c:v>
                </c:pt>
                <c:pt idx="62">
                  <c:v>9.5384615384615383</c:v>
                </c:pt>
                <c:pt idx="63">
                  <c:v>9.6923076923076916</c:v>
                </c:pt>
                <c:pt idx="64">
                  <c:v>9.8461538461538467</c:v>
                </c:pt>
                <c:pt idx="65">
                  <c:v>10</c:v>
                </c:pt>
                <c:pt idx="66">
                  <c:v>10.153846153846153</c:v>
                </c:pt>
                <c:pt idx="67">
                  <c:v>10.307692307692308</c:v>
                </c:pt>
                <c:pt idx="68">
                  <c:v>10.461538461538462</c:v>
                </c:pt>
                <c:pt idx="69">
                  <c:v>10.615384615384615</c:v>
                </c:pt>
                <c:pt idx="70">
                  <c:v>10.76923076923077</c:v>
                </c:pt>
                <c:pt idx="71">
                  <c:v>10.923076923076923</c:v>
                </c:pt>
                <c:pt idx="72">
                  <c:v>11.076923076923077</c:v>
                </c:pt>
                <c:pt idx="73">
                  <c:v>11.23076923076923</c:v>
                </c:pt>
                <c:pt idx="74">
                  <c:v>11.384615384615385</c:v>
                </c:pt>
                <c:pt idx="75">
                  <c:v>11.538461538461538</c:v>
                </c:pt>
                <c:pt idx="76">
                  <c:v>11.692307692307692</c:v>
                </c:pt>
                <c:pt idx="77">
                  <c:v>11.846153846153847</c:v>
                </c:pt>
                <c:pt idx="78">
                  <c:v>12</c:v>
                </c:pt>
                <c:pt idx="79">
                  <c:v>12.153846153846153</c:v>
                </c:pt>
                <c:pt idx="80">
                  <c:v>12.307692307692308</c:v>
                </c:pt>
                <c:pt idx="81">
                  <c:v>12.461538461538462</c:v>
                </c:pt>
                <c:pt idx="82">
                  <c:v>12.615384615384615</c:v>
                </c:pt>
                <c:pt idx="83">
                  <c:v>12.76923076923077</c:v>
                </c:pt>
                <c:pt idx="84">
                  <c:v>12.923076923076923</c:v>
                </c:pt>
                <c:pt idx="85">
                  <c:v>13.076923076923077</c:v>
                </c:pt>
                <c:pt idx="86">
                  <c:v>13.23076923076923</c:v>
                </c:pt>
                <c:pt idx="87">
                  <c:v>13.384615384615385</c:v>
                </c:pt>
                <c:pt idx="88">
                  <c:v>13.538461538461538</c:v>
                </c:pt>
                <c:pt idx="89">
                  <c:v>13.692307692307692</c:v>
                </c:pt>
                <c:pt idx="90">
                  <c:v>13.846153846153847</c:v>
                </c:pt>
                <c:pt idx="91">
                  <c:v>14</c:v>
                </c:pt>
                <c:pt idx="92">
                  <c:v>14.153846153846153</c:v>
                </c:pt>
                <c:pt idx="93">
                  <c:v>14.307692307692308</c:v>
                </c:pt>
                <c:pt idx="94">
                  <c:v>14.461538461538462</c:v>
                </c:pt>
                <c:pt idx="95">
                  <c:v>14.615384615384615</c:v>
                </c:pt>
                <c:pt idx="96">
                  <c:v>14.76923076923077</c:v>
                </c:pt>
                <c:pt idx="97">
                  <c:v>14.923076923076923</c:v>
                </c:pt>
                <c:pt idx="98">
                  <c:v>15.076923076923077</c:v>
                </c:pt>
                <c:pt idx="99">
                  <c:v>15.23076923076923</c:v>
                </c:pt>
                <c:pt idx="100">
                  <c:v>15.384615384615385</c:v>
                </c:pt>
                <c:pt idx="101">
                  <c:v>15.538461538461538</c:v>
                </c:pt>
              </c:numCache>
            </c:numRef>
          </c:yVal>
          <c:smooth val="1"/>
          <c:extLst>
            <c:ext xmlns:c16="http://schemas.microsoft.com/office/drawing/2014/chart" uri="{C3380CC4-5D6E-409C-BE32-E72D297353CC}">
              <c16:uniqueId val="{00000000-599F-4709-A81F-37F79BC45DA4}"/>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0.15384615384615385</c:v>
                </c:pt>
                <c:pt idx="2">
                  <c:v>0.30769230769230771</c:v>
                </c:pt>
                <c:pt idx="3">
                  <c:v>0.46153846153846156</c:v>
                </c:pt>
                <c:pt idx="4">
                  <c:v>0.61538461538461542</c:v>
                </c:pt>
                <c:pt idx="5">
                  <c:v>0.76923076923076927</c:v>
                </c:pt>
                <c:pt idx="6">
                  <c:v>0.92307692307692313</c:v>
                </c:pt>
                <c:pt idx="7">
                  <c:v>1.0769230769230769</c:v>
                </c:pt>
                <c:pt idx="8">
                  <c:v>1.2307692307692308</c:v>
                </c:pt>
                <c:pt idx="9">
                  <c:v>1.3846153846153846</c:v>
                </c:pt>
                <c:pt idx="10">
                  <c:v>1.5384615384615385</c:v>
                </c:pt>
                <c:pt idx="11">
                  <c:v>1.6923076923076923</c:v>
                </c:pt>
                <c:pt idx="12">
                  <c:v>1.8461538461538463</c:v>
                </c:pt>
                <c:pt idx="13">
                  <c:v>2</c:v>
                </c:pt>
                <c:pt idx="14">
                  <c:v>2.1538461538461537</c:v>
                </c:pt>
                <c:pt idx="15">
                  <c:v>2.3076923076923075</c:v>
                </c:pt>
                <c:pt idx="16">
                  <c:v>2.4615384615384617</c:v>
                </c:pt>
                <c:pt idx="17">
                  <c:v>2.6153846153846154</c:v>
                </c:pt>
                <c:pt idx="18">
                  <c:v>2.7692307692307692</c:v>
                </c:pt>
                <c:pt idx="19">
                  <c:v>2.9230769230769229</c:v>
                </c:pt>
                <c:pt idx="20">
                  <c:v>3.0769230769230771</c:v>
                </c:pt>
                <c:pt idx="21">
                  <c:v>3.2307692307692308</c:v>
                </c:pt>
                <c:pt idx="22">
                  <c:v>3.3846153846153846</c:v>
                </c:pt>
                <c:pt idx="23">
                  <c:v>3.5384615384615383</c:v>
                </c:pt>
                <c:pt idx="24">
                  <c:v>3.6923076923076925</c:v>
                </c:pt>
                <c:pt idx="25">
                  <c:v>3.8461538461538463</c:v>
                </c:pt>
                <c:pt idx="26">
                  <c:v>4</c:v>
                </c:pt>
                <c:pt idx="27">
                  <c:v>4.1538461538461542</c:v>
                </c:pt>
                <c:pt idx="28">
                  <c:v>4.3076923076923075</c:v>
                </c:pt>
                <c:pt idx="29">
                  <c:v>4.4615384615384617</c:v>
                </c:pt>
                <c:pt idx="30">
                  <c:v>4.615384615384615</c:v>
                </c:pt>
                <c:pt idx="31">
                  <c:v>4.7692307692307692</c:v>
                </c:pt>
                <c:pt idx="32">
                  <c:v>4.9230769230769234</c:v>
                </c:pt>
                <c:pt idx="33">
                  <c:v>5.0769230769230766</c:v>
                </c:pt>
                <c:pt idx="34">
                  <c:v>5.2307692307692308</c:v>
                </c:pt>
                <c:pt idx="35">
                  <c:v>5.384615384615385</c:v>
                </c:pt>
                <c:pt idx="36">
                  <c:v>5.5384615384615383</c:v>
                </c:pt>
                <c:pt idx="37">
                  <c:v>5.6923076923076925</c:v>
                </c:pt>
                <c:pt idx="38">
                  <c:v>5.8461538461538458</c:v>
                </c:pt>
                <c:pt idx="39">
                  <c:v>6</c:v>
                </c:pt>
                <c:pt idx="40">
                  <c:v>6.1538461538461542</c:v>
                </c:pt>
                <c:pt idx="41">
                  <c:v>6.3076923076923075</c:v>
                </c:pt>
                <c:pt idx="42">
                  <c:v>6.4615384615384617</c:v>
                </c:pt>
                <c:pt idx="43">
                  <c:v>6.615384615384615</c:v>
                </c:pt>
                <c:pt idx="44">
                  <c:v>6.7692307692307692</c:v>
                </c:pt>
                <c:pt idx="45">
                  <c:v>6.9230769230769234</c:v>
                </c:pt>
                <c:pt idx="46">
                  <c:v>7.0769230769230766</c:v>
                </c:pt>
                <c:pt idx="47">
                  <c:v>7.2307692307692308</c:v>
                </c:pt>
                <c:pt idx="48">
                  <c:v>7.384615384615385</c:v>
                </c:pt>
                <c:pt idx="49">
                  <c:v>7.5384615384615383</c:v>
                </c:pt>
                <c:pt idx="50">
                  <c:v>7.6923076923076925</c:v>
                </c:pt>
                <c:pt idx="51">
                  <c:v>7.8461538461538458</c:v>
                </c:pt>
                <c:pt idx="52">
                  <c:v>8</c:v>
                </c:pt>
                <c:pt idx="53">
                  <c:v>8.1538461538461533</c:v>
                </c:pt>
                <c:pt idx="54">
                  <c:v>8.3076923076923084</c:v>
                </c:pt>
                <c:pt idx="55">
                  <c:v>8.4615384615384617</c:v>
                </c:pt>
                <c:pt idx="56">
                  <c:v>8.615384615384615</c:v>
                </c:pt>
                <c:pt idx="57">
                  <c:v>8.7692307692307701</c:v>
                </c:pt>
                <c:pt idx="58">
                  <c:v>8.9230769230769234</c:v>
                </c:pt>
                <c:pt idx="59">
                  <c:v>9.0769230769230766</c:v>
                </c:pt>
                <c:pt idx="60">
                  <c:v>9.2307692307692299</c:v>
                </c:pt>
                <c:pt idx="61">
                  <c:v>9.384615384615385</c:v>
                </c:pt>
                <c:pt idx="62">
                  <c:v>9.5384615384615383</c:v>
                </c:pt>
                <c:pt idx="63">
                  <c:v>9.6923076923076916</c:v>
                </c:pt>
                <c:pt idx="64">
                  <c:v>9.8461538461538467</c:v>
                </c:pt>
                <c:pt idx="65">
                  <c:v>10</c:v>
                </c:pt>
                <c:pt idx="66">
                  <c:v>10.153846153846153</c:v>
                </c:pt>
                <c:pt idx="67">
                  <c:v>10.307692307692308</c:v>
                </c:pt>
                <c:pt idx="68">
                  <c:v>10.461538461538462</c:v>
                </c:pt>
                <c:pt idx="69">
                  <c:v>10.615384615384615</c:v>
                </c:pt>
                <c:pt idx="70">
                  <c:v>10.76923076923077</c:v>
                </c:pt>
                <c:pt idx="71">
                  <c:v>10.923076923076923</c:v>
                </c:pt>
                <c:pt idx="72">
                  <c:v>11.076923076923077</c:v>
                </c:pt>
                <c:pt idx="73">
                  <c:v>11.23076923076923</c:v>
                </c:pt>
                <c:pt idx="74">
                  <c:v>11.384615384615385</c:v>
                </c:pt>
                <c:pt idx="75">
                  <c:v>11.538461538461538</c:v>
                </c:pt>
                <c:pt idx="76">
                  <c:v>11.692307692307692</c:v>
                </c:pt>
                <c:pt idx="77">
                  <c:v>11.846153846153847</c:v>
                </c:pt>
                <c:pt idx="78">
                  <c:v>12</c:v>
                </c:pt>
                <c:pt idx="79">
                  <c:v>12.153846153846153</c:v>
                </c:pt>
                <c:pt idx="80">
                  <c:v>12.307692307692308</c:v>
                </c:pt>
                <c:pt idx="81">
                  <c:v>12.461538461538462</c:v>
                </c:pt>
                <c:pt idx="82">
                  <c:v>12.615384615384615</c:v>
                </c:pt>
                <c:pt idx="83">
                  <c:v>12.76923076923077</c:v>
                </c:pt>
                <c:pt idx="84">
                  <c:v>12.923076923076923</c:v>
                </c:pt>
                <c:pt idx="85">
                  <c:v>13.076923076923077</c:v>
                </c:pt>
                <c:pt idx="86">
                  <c:v>13.23076923076923</c:v>
                </c:pt>
                <c:pt idx="87">
                  <c:v>13.384615384615385</c:v>
                </c:pt>
                <c:pt idx="88">
                  <c:v>13.538461538461538</c:v>
                </c:pt>
                <c:pt idx="89">
                  <c:v>13.692307692307692</c:v>
                </c:pt>
                <c:pt idx="90">
                  <c:v>13.846153846153847</c:v>
                </c:pt>
                <c:pt idx="91">
                  <c:v>14</c:v>
                </c:pt>
                <c:pt idx="92">
                  <c:v>14.153846153846153</c:v>
                </c:pt>
                <c:pt idx="93">
                  <c:v>14.307692307692308</c:v>
                </c:pt>
                <c:pt idx="94">
                  <c:v>14.461538461538462</c:v>
                </c:pt>
                <c:pt idx="95">
                  <c:v>14.615384615384615</c:v>
                </c:pt>
                <c:pt idx="96">
                  <c:v>14.76923076923077</c:v>
                </c:pt>
                <c:pt idx="97">
                  <c:v>14.923076923076923</c:v>
                </c:pt>
                <c:pt idx="98">
                  <c:v>15.076923076923077</c:v>
                </c:pt>
                <c:pt idx="99">
                  <c:v>15.23076923076923</c:v>
                </c:pt>
                <c:pt idx="100">
                  <c:v>15.384615384615385</c:v>
                </c:pt>
                <c:pt idx="101">
                  <c:v>15.538461538461538</c:v>
                </c:pt>
              </c:numCache>
            </c:numRef>
          </c:xVal>
          <c:yVal>
            <c:numRef>
              <c:f>Start_up!$G$10:$G$112</c:f>
              <c:numCache>
                <c:formatCode>General</c:formatCode>
                <c:ptCount val="103"/>
                <c:pt idx="0">
                  <c:v>0.55000000000000004</c:v>
                </c:pt>
                <c:pt idx="1">
                  <c:v>0.55000000000000004</c:v>
                </c:pt>
                <c:pt idx="2">
                  <c:v>0.55000000000000004</c:v>
                </c:pt>
                <c:pt idx="3">
                  <c:v>0.55000000000000004</c:v>
                </c:pt>
                <c:pt idx="4">
                  <c:v>0.55000000000000004</c:v>
                </c:pt>
                <c:pt idx="5">
                  <c:v>0.55000000000000004</c:v>
                </c:pt>
                <c:pt idx="6">
                  <c:v>0.55000000000000004</c:v>
                </c:pt>
                <c:pt idx="7">
                  <c:v>0.55000000000000004</c:v>
                </c:pt>
                <c:pt idx="8">
                  <c:v>0.55000000000000004</c:v>
                </c:pt>
                <c:pt idx="9">
                  <c:v>0.55000000000000004</c:v>
                </c:pt>
                <c:pt idx="10">
                  <c:v>0.55000000000000004</c:v>
                </c:pt>
                <c:pt idx="11">
                  <c:v>0.55000000000000004</c:v>
                </c:pt>
                <c:pt idx="12">
                  <c:v>0.55000000000000004</c:v>
                </c:pt>
                <c:pt idx="13">
                  <c:v>0.55000000000000004</c:v>
                </c:pt>
                <c:pt idx="14">
                  <c:v>0.55000000000000004</c:v>
                </c:pt>
                <c:pt idx="15">
                  <c:v>0.55000000000000004</c:v>
                </c:pt>
                <c:pt idx="16">
                  <c:v>0.55000000000000004</c:v>
                </c:pt>
                <c:pt idx="17">
                  <c:v>0.55000000000000004</c:v>
                </c:pt>
                <c:pt idx="18">
                  <c:v>0.55000000000000004</c:v>
                </c:pt>
                <c:pt idx="19">
                  <c:v>0.55000000000000004</c:v>
                </c:pt>
                <c:pt idx="20">
                  <c:v>0.55000000000000004</c:v>
                </c:pt>
                <c:pt idx="21">
                  <c:v>0.55000000000000004</c:v>
                </c:pt>
                <c:pt idx="22">
                  <c:v>0.55000000000000004</c:v>
                </c:pt>
                <c:pt idx="23">
                  <c:v>0.55000000000000004</c:v>
                </c:pt>
                <c:pt idx="24">
                  <c:v>0.55000000000000004</c:v>
                </c:pt>
                <c:pt idx="25">
                  <c:v>0.55000000000000004</c:v>
                </c:pt>
                <c:pt idx="26">
                  <c:v>0.55000000000000004</c:v>
                </c:pt>
                <c:pt idx="27">
                  <c:v>0.55000000000000004</c:v>
                </c:pt>
                <c:pt idx="28">
                  <c:v>0.55000000000000004</c:v>
                </c:pt>
                <c:pt idx="29">
                  <c:v>0.55000000000000004</c:v>
                </c:pt>
                <c:pt idx="30">
                  <c:v>0.55000000000000004</c:v>
                </c:pt>
                <c:pt idx="31">
                  <c:v>0.55000000000000004</c:v>
                </c:pt>
                <c:pt idx="32">
                  <c:v>0.55000000000000004</c:v>
                </c:pt>
                <c:pt idx="33">
                  <c:v>0.55000000000000004</c:v>
                </c:pt>
                <c:pt idx="34">
                  <c:v>0.55000000000000004</c:v>
                </c:pt>
                <c:pt idx="35">
                  <c:v>0.55000000000000004</c:v>
                </c:pt>
                <c:pt idx="36">
                  <c:v>0.55000000000000004</c:v>
                </c:pt>
                <c:pt idx="37">
                  <c:v>0.55000000000000004</c:v>
                </c:pt>
                <c:pt idx="38">
                  <c:v>0.55000000000000004</c:v>
                </c:pt>
                <c:pt idx="39">
                  <c:v>6.55</c:v>
                </c:pt>
                <c:pt idx="40">
                  <c:v>6.703846153846154</c:v>
                </c:pt>
                <c:pt idx="41">
                  <c:v>6.8576923076923073</c:v>
                </c:pt>
                <c:pt idx="42">
                  <c:v>7.0115384615384615</c:v>
                </c:pt>
                <c:pt idx="43">
                  <c:v>7.1653846153846148</c:v>
                </c:pt>
                <c:pt idx="44">
                  <c:v>7.319230769230769</c:v>
                </c:pt>
                <c:pt idx="45">
                  <c:v>7.4730769230769232</c:v>
                </c:pt>
                <c:pt idx="46">
                  <c:v>7.6269230769230765</c:v>
                </c:pt>
                <c:pt idx="47">
                  <c:v>7.7807692307692307</c:v>
                </c:pt>
                <c:pt idx="48">
                  <c:v>7.9346153846153848</c:v>
                </c:pt>
                <c:pt idx="49">
                  <c:v>8.088461538461539</c:v>
                </c:pt>
                <c:pt idx="50">
                  <c:v>8.2423076923076923</c:v>
                </c:pt>
                <c:pt idx="51">
                  <c:v>8.3961538461538456</c:v>
                </c:pt>
                <c:pt idx="52">
                  <c:v>8.5500000000000007</c:v>
                </c:pt>
                <c:pt idx="53">
                  <c:v>8.703846153846154</c:v>
                </c:pt>
                <c:pt idx="54">
                  <c:v>8.8576923076923091</c:v>
                </c:pt>
                <c:pt idx="55">
                  <c:v>9.0115384615384624</c:v>
                </c:pt>
                <c:pt idx="56">
                  <c:v>9.1653846153846157</c:v>
                </c:pt>
                <c:pt idx="57">
                  <c:v>9.3192307692307708</c:v>
                </c:pt>
                <c:pt idx="58">
                  <c:v>9.4730769230769241</c:v>
                </c:pt>
                <c:pt idx="59">
                  <c:v>9.6269230769230774</c:v>
                </c:pt>
                <c:pt idx="60">
                  <c:v>9.7807692307692307</c:v>
                </c:pt>
                <c:pt idx="61">
                  <c:v>9.9346153846153857</c:v>
                </c:pt>
                <c:pt idx="62">
                  <c:v>10.088461538461539</c:v>
                </c:pt>
                <c:pt idx="63">
                  <c:v>10.242307692307692</c:v>
                </c:pt>
                <c:pt idx="64">
                  <c:v>10.396153846153847</c:v>
                </c:pt>
                <c:pt idx="65">
                  <c:v>10.55</c:v>
                </c:pt>
                <c:pt idx="66">
                  <c:v>10.703846153846154</c:v>
                </c:pt>
                <c:pt idx="67">
                  <c:v>10.857692307692309</c:v>
                </c:pt>
                <c:pt idx="68">
                  <c:v>11.011538461538462</c:v>
                </c:pt>
                <c:pt idx="69">
                  <c:v>11.165384615384616</c:v>
                </c:pt>
                <c:pt idx="70">
                  <c:v>11.319230769230771</c:v>
                </c:pt>
                <c:pt idx="71">
                  <c:v>11.473076923076924</c:v>
                </c:pt>
                <c:pt idx="72">
                  <c:v>11.626923076923077</c:v>
                </c:pt>
                <c:pt idx="73">
                  <c:v>11.780769230769231</c:v>
                </c:pt>
                <c:pt idx="74">
                  <c:v>11.934615384615386</c:v>
                </c:pt>
                <c:pt idx="75">
                  <c:v>12.088461538461539</c:v>
                </c:pt>
                <c:pt idx="76">
                  <c:v>12.242307692307692</c:v>
                </c:pt>
                <c:pt idx="77">
                  <c:v>12.396153846153847</c:v>
                </c:pt>
                <c:pt idx="78">
                  <c:v>12.55</c:v>
                </c:pt>
                <c:pt idx="79">
                  <c:v>12.703846153846154</c:v>
                </c:pt>
                <c:pt idx="80">
                  <c:v>12.857692307692309</c:v>
                </c:pt>
                <c:pt idx="81">
                  <c:v>13.011538461538462</c:v>
                </c:pt>
                <c:pt idx="82">
                  <c:v>13.165384615384616</c:v>
                </c:pt>
                <c:pt idx="83">
                  <c:v>13.319230769230771</c:v>
                </c:pt>
                <c:pt idx="84">
                  <c:v>13.473076923076924</c:v>
                </c:pt>
                <c:pt idx="85">
                  <c:v>13.626923076923077</c:v>
                </c:pt>
                <c:pt idx="86">
                  <c:v>13.780769230769231</c:v>
                </c:pt>
                <c:pt idx="87">
                  <c:v>13.934615384615386</c:v>
                </c:pt>
                <c:pt idx="88">
                  <c:v>14.088461538461539</c:v>
                </c:pt>
                <c:pt idx="89">
                  <c:v>14.242307692307692</c:v>
                </c:pt>
                <c:pt idx="90">
                  <c:v>14.396153846153847</c:v>
                </c:pt>
                <c:pt idx="91">
                  <c:v>14.55</c:v>
                </c:pt>
                <c:pt idx="92">
                  <c:v>14.703846153846154</c:v>
                </c:pt>
                <c:pt idx="93">
                  <c:v>14.857692307692309</c:v>
                </c:pt>
                <c:pt idx="94">
                  <c:v>15.011538461538462</c:v>
                </c:pt>
                <c:pt idx="95">
                  <c:v>15.165384615384616</c:v>
                </c:pt>
                <c:pt idx="96">
                  <c:v>15.319230769230771</c:v>
                </c:pt>
                <c:pt idx="97">
                  <c:v>15.473076923076924</c:v>
                </c:pt>
                <c:pt idx="98">
                  <c:v>15.626923076923077</c:v>
                </c:pt>
                <c:pt idx="99">
                  <c:v>15.780769230769231</c:v>
                </c:pt>
                <c:pt idx="100">
                  <c:v>15.934615384615386</c:v>
                </c:pt>
                <c:pt idx="101">
                  <c:v>16.088461538461537</c:v>
                </c:pt>
                <c:pt idx="102">
                  <c:v>16.242307692307691</c:v>
                </c:pt>
              </c:numCache>
            </c:numRef>
          </c:yVal>
          <c:smooth val="1"/>
          <c:extLst>
            <c:ext xmlns:c16="http://schemas.microsoft.com/office/drawing/2014/chart" uri="{C3380CC4-5D6E-409C-BE32-E72D297353CC}">
              <c16:uniqueId val="{00000001-599F-4709-A81F-37F79BC45DA4}"/>
            </c:ext>
          </c:extLst>
        </c:ser>
        <c:dLbls>
          <c:showLegendKey val="0"/>
          <c:showVal val="0"/>
          <c:showCatName val="0"/>
          <c:showSerName val="0"/>
          <c:showPercent val="0"/>
          <c:showBubbleSize val="0"/>
        </c:dLbls>
        <c:axId val="161790976"/>
        <c:axId val="161793152"/>
      </c:scatterChart>
      <c:valAx>
        <c:axId val="16179097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61793152"/>
        <c:crosses val="autoZero"/>
        <c:crossBetween val="midCat"/>
      </c:valAx>
      <c:valAx>
        <c:axId val="161793152"/>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6179097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1.xml"/><Relationship Id="rId13" Type="http://schemas.openxmlformats.org/officeDocument/2006/relationships/chart" Target="../charts/chart2.xml"/><Relationship Id="rId18" Type="http://schemas.openxmlformats.org/officeDocument/2006/relationships/image" Target="../media/image13.png"/><Relationship Id="rId3" Type="http://schemas.openxmlformats.org/officeDocument/2006/relationships/image" Target="../media/image2.png"/><Relationship Id="rId21" Type="http://schemas.openxmlformats.org/officeDocument/2006/relationships/image" Target="../media/image15.emf"/><Relationship Id="rId7" Type="http://schemas.openxmlformats.org/officeDocument/2006/relationships/image" Target="../media/image6.emf"/><Relationship Id="rId12" Type="http://schemas.openxmlformats.org/officeDocument/2006/relationships/image" Target="../media/image10.png"/><Relationship Id="rId17" Type="http://schemas.openxmlformats.org/officeDocument/2006/relationships/hyperlink" Target="https://training.ti.com/node/1133664" TargetMode="External"/><Relationship Id="rId2" Type="http://schemas.openxmlformats.org/officeDocument/2006/relationships/hyperlink" Target="http://www.ti.com" TargetMode="External"/><Relationship Id="rId16" Type="http://schemas.openxmlformats.org/officeDocument/2006/relationships/image" Target="../media/image12.png"/><Relationship Id="rId20" Type="http://schemas.openxmlformats.org/officeDocument/2006/relationships/image" Target="../media/image14.png"/><Relationship Id="rId1" Type="http://schemas.openxmlformats.org/officeDocument/2006/relationships/hyperlink" Target="http://www.ti.com/lit/gpn/lm74900-q1" TargetMode="External"/><Relationship Id="rId6" Type="http://schemas.openxmlformats.org/officeDocument/2006/relationships/image" Target="../media/image5.emf"/><Relationship Id="rId11" Type="http://schemas.openxmlformats.org/officeDocument/2006/relationships/image" Target="../media/image9.png"/><Relationship Id="rId5" Type="http://schemas.openxmlformats.org/officeDocument/2006/relationships/image" Target="../media/image4.png"/><Relationship Id="rId15" Type="http://schemas.openxmlformats.org/officeDocument/2006/relationships/hyperlink" Target="https://training.ti.com/node/1133673" TargetMode="External"/><Relationship Id="rId10" Type="http://schemas.openxmlformats.org/officeDocument/2006/relationships/image" Target="../media/image8.png"/><Relationship Id="rId19" Type="http://schemas.openxmlformats.org/officeDocument/2006/relationships/hyperlink" Target="https://training.ti.com/node/1133677" TargetMode="External"/><Relationship Id="rId4" Type="http://schemas.openxmlformats.org/officeDocument/2006/relationships/image" Target="../media/image3.emf"/><Relationship Id="rId9" Type="http://schemas.openxmlformats.org/officeDocument/2006/relationships/image" Target="../media/image7.jpeg"/><Relationship Id="rId1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100-000001040000}"/>
            </a:ext>
          </a:extLst>
        </xdr:cNvPr>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LM749x0-Q1 Ideal Diode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LM749x0-Q1 datasheet for more detail.</a:t>
          </a:r>
        </a:p>
      </xdr:txBody>
    </xdr:sp>
    <xdr:clientData/>
  </xdr:twoCellAnchor>
  <xdr:twoCellAnchor>
    <xdr:from>
      <xdr:col>39</xdr:col>
      <xdr:colOff>0</xdr:colOff>
      <xdr:row>56</xdr:row>
      <xdr:rowOff>0</xdr:rowOff>
    </xdr:from>
    <xdr:to>
      <xdr:col>39</xdr:col>
      <xdr:colOff>0</xdr:colOff>
      <xdr:row>64</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2"/>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125</xdr:row>
      <xdr:rowOff>95251</xdr:rowOff>
    </xdr:from>
    <xdr:to>
      <xdr:col>10</xdr:col>
      <xdr:colOff>644271</xdr:colOff>
      <xdr:row>125</xdr:row>
      <xdr:rowOff>110238</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245426</xdr:colOff>
      <xdr:row>88</xdr:row>
      <xdr:rowOff>24765</xdr:rowOff>
    </xdr:from>
    <xdr:to>
      <xdr:col>12</xdr:col>
      <xdr:colOff>300542</xdr:colOff>
      <xdr:row>89</xdr:row>
      <xdr:rowOff>71548</xdr:rowOff>
    </xdr:to>
    <xdr:pic>
      <xdr:nvPicPr>
        <xdr:cNvPr id="1253" name="Picture 229">
          <a:extLst>
            <a:ext uri="{FF2B5EF4-FFF2-40B4-BE49-F238E27FC236}">
              <a16:creationId xmlns:a16="http://schemas.microsoft.com/office/drawing/2014/main" id="{00000000-0008-0000-0100-0000E5040000}"/>
            </a:ext>
          </a:extLst>
        </xdr:cNvPr>
        <xdr:cNvPicPr>
          <a:picLocks noChangeAspect="1" noChangeArrowheads="1"/>
        </xdr:cNvPicPr>
      </xdr:nvPicPr>
      <xdr:blipFill rotWithShape="1">
        <a:blip xmlns:r="http://schemas.openxmlformats.org/officeDocument/2006/relationships" r:embed="rId6" cstate="print"/>
        <a:srcRect t="87986"/>
        <a:stretch/>
      </xdr:blipFill>
      <xdr:spPr bwMode="auto">
        <a:xfrm>
          <a:off x="8048306" y="18312765"/>
          <a:ext cx="2819271" cy="220139"/>
        </a:xfrm>
        <a:prstGeom prst="rect">
          <a:avLst/>
        </a:prstGeom>
        <a:noFill/>
      </xdr:spPr>
    </xdr:pic>
    <xdr:clientData/>
  </xdr:twoCellAnchor>
  <xdr:twoCellAnchor editAs="oneCell">
    <xdr:from>
      <xdr:col>8</xdr:col>
      <xdr:colOff>276935</xdr:colOff>
      <xdr:row>101</xdr:row>
      <xdr:rowOff>64519</xdr:rowOff>
    </xdr:from>
    <xdr:to>
      <xdr:col>12</xdr:col>
      <xdr:colOff>308649</xdr:colOff>
      <xdr:row>102</xdr:row>
      <xdr:rowOff>110257</xdr:rowOff>
    </xdr:to>
    <xdr:pic>
      <xdr:nvPicPr>
        <xdr:cNvPr id="1254" name="Picture 230">
          <a:extLst>
            <a:ext uri="{FF2B5EF4-FFF2-40B4-BE49-F238E27FC236}">
              <a16:creationId xmlns:a16="http://schemas.microsoft.com/office/drawing/2014/main" id="{00000000-0008-0000-0100-0000E6040000}"/>
            </a:ext>
          </a:extLst>
        </xdr:cNvPr>
        <xdr:cNvPicPr>
          <a:picLocks noChangeAspect="1" noChangeArrowheads="1"/>
        </xdr:cNvPicPr>
      </xdr:nvPicPr>
      <xdr:blipFill rotWithShape="1">
        <a:blip xmlns:r="http://schemas.openxmlformats.org/officeDocument/2006/relationships" r:embed="rId7" cstate="print"/>
        <a:srcRect t="88112"/>
        <a:stretch/>
      </xdr:blipFill>
      <xdr:spPr bwMode="auto">
        <a:xfrm>
          <a:off x="8069463" y="20717594"/>
          <a:ext cx="2830447" cy="224592"/>
        </a:xfrm>
        <a:prstGeom prst="rect">
          <a:avLst/>
        </a:prstGeom>
        <a:noFill/>
      </xdr:spPr>
    </xdr:pic>
    <xdr:clientData/>
  </xdr:twoCellAnchor>
  <xdr:twoCellAnchor>
    <xdr:from>
      <xdr:col>7</xdr:col>
      <xdr:colOff>274321</xdr:colOff>
      <xdr:row>46</xdr:row>
      <xdr:rowOff>76201</xdr:rowOff>
    </xdr:from>
    <xdr:to>
      <xdr:col>38</xdr:col>
      <xdr:colOff>209550</xdr:colOff>
      <xdr:row>62</xdr:row>
      <xdr:rowOff>107950</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8</xdr:col>
      <xdr:colOff>53340</xdr:colOff>
      <xdr:row>45</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434340</xdr:colOff>
      <xdr:row>52</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66</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8</xdr:col>
      <xdr:colOff>819150</xdr:colOff>
      <xdr:row>2</xdr:row>
      <xdr:rowOff>76200</xdr:rowOff>
    </xdr:from>
    <xdr:to>
      <xdr:col>12</xdr:col>
      <xdr:colOff>148590</xdr:colOff>
      <xdr:row>10</xdr:row>
      <xdr:rowOff>110490</xdr:rowOff>
    </xdr:to>
    <xdr:pic>
      <xdr:nvPicPr>
        <xdr:cNvPr id="32" name="Picture 31" descr="PLM74900QRGERQ1 Automotive ideal diode with circuit breaker, under and overvoltage protection with fault output | RGE | 24 | -40 to 125 package image">
          <a:extLst>
            <a:ext uri="{FF2B5EF4-FFF2-40B4-BE49-F238E27FC236}">
              <a16:creationId xmlns:a16="http://schemas.microsoft.com/office/drawing/2014/main" id="{058C625C-C250-4F4C-AA85-7E7C118DFD3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620125" y="1047750"/>
          <a:ext cx="20955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52190</xdr:colOff>
      <xdr:row>105</xdr:row>
      <xdr:rowOff>87630</xdr:rowOff>
    </xdr:from>
    <xdr:to>
      <xdr:col>4</xdr:col>
      <xdr:colOff>909957</xdr:colOff>
      <xdr:row>118</xdr:row>
      <xdr:rowOff>72390</xdr:rowOff>
    </xdr:to>
    <xdr:pic>
      <xdr:nvPicPr>
        <xdr:cNvPr id="8" name="Picture 7">
          <a:extLst>
            <a:ext uri="{FF2B5EF4-FFF2-40B4-BE49-F238E27FC236}">
              <a16:creationId xmlns:a16="http://schemas.microsoft.com/office/drawing/2014/main" id="{03C0F073-4BED-45B0-AACD-B813E7C1D933}"/>
            </a:ext>
          </a:extLst>
        </xdr:cNvPr>
        <xdr:cNvPicPr>
          <a:picLocks noChangeAspect="1"/>
        </xdr:cNvPicPr>
      </xdr:nvPicPr>
      <xdr:blipFill>
        <a:blip xmlns:r="http://schemas.openxmlformats.org/officeDocument/2006/relationships" r:embed="rId10"/>
        <a:stretch>
          <a:fillRect/>
        </a:stretch>
      </xdr:blipFill>
      <xdr:spPr>
        <a:xfrm>
          <a:off x="83505" y="21444507"/>
          <a:ext cx="5106178" cy="2403562"/>
        </a:xfrm>
        <a:prstGeom prst="rect">
          <a:avLst/>
        </a:prstGeom>
      </xdr:spPr>
    </xdr:pic>
    <xdr:clientData/>
  </xdr:twoCellAnchor>
  <xdr:twoCellAnchor editAs="oneCell">
    <xdr:from>
      <xdr:col>8</xdr:col>
      <xdr:colOff>844460</xdr:colOff>
      <xdr:row>78</xdr:row>
      <xdr:rowOff>155473</xdr:rowOff>
    </xdr:from>
    <xdr:to>
      <xdr:col>10</xdr:col>
      <xdr:colOff>385673</xdr:colOff>
      <xdr:row>87</xdr:row>
      <xdr:rowOff>157002</xdr:rowOff>
    </xdr:to>
    <xdr:pic>
      <xdr:nvPicPr>
        <xdr:cNvPr id="14" name="Picture 13">
          <a:extLst>
            <a:ext uri="{FF2B5EF4-FFF2-40B4-BE49-F238E27FC236}">
              <a16:creationId xmlns:a16="http://schemas.microsoft.com/office/drawing/2014/main" id="{E7833B91-AFBE-4085-905A-6CE27F468915}"/>
            </a:ext>
          </a:extLst>
        </xdr:cNvPr>
        <xdr:cNvPicPr>
          <a:picLocks noChangeAspect="1"/>
        </xdr:cNvPicPr>
      </xdr:nvPicPr>
      <xdr:blipFill>
        <a:blip xmlns:r="http://schemas.openxmlformats.org/officeDocument/2006/relationships" r:embed="rId11"/>
        <a:stretch>
          <a:fillRect/>
        </a:stretch>
      </xdr:blipFill>
      <xdr:spPr>
        <a:xfrm>
          <a:off x="8636988" y="16538473"/>
          <a:ext cx="1023986" cy="1750284"/>
        </a:xfrm>
        <a:prstGeom prst="rect">
          <a:avLst/>
        </a:prstGeom>
      </xdr:spPr>
    </xdr:pic>
    <xdr:clientData/>
  </xdr:twoCellAnchor>
  <xdr:twoCellAnchor>
    <xdr:from>
      <xdr:col>8</xdr:col>
      <xdr:colOff>335280</xdr:colOff>
      <xdr:row>90</xdr:row>
      <xdr:rowOff>120015</xdr:rowOff>
    </xdr:from>
    <xdr:to>
      <xdr:col>10</xdr:col>
      <xdr:colOff>603849</xdr:colOff>
      <xdr:row>100</xdr:row>
      <xdr:rowOff>100642</xdr:rowOff>
    </xdr:to>
    <xdr:grpSp>
      <xdr:nvGrpSpPr>
        <xdr:cNvPr id="7" name="Group 6">
          <a:extLst>
            <a:ext uri="{FF2B5EF4-FFF2-40B4-BE49-F238E27FC236}">
              <a16:creationId xmlns:a16="http://schemas.microsoft.com/office/drawing/2014/main" id="{C3C0FEE9-E327-4649-9154-7DE736DC91EE}"/>
            </a:ext>
          </a:extLst>
        </xdr:cNvPr>
        <xdr:cNvGrpSpPr/>
      </xdr:nvGrpSpPr>
      <xdr:grpSpPr>
        <a:xfrm>
          <a:off x="8147437" y="18149598"/>
          <a:ext cx="1746186" cy="1902192"/>
          <a:chOff x="8153609" y="18606344"/>
          <a:chExt cx="2173996" cy="1796418"/>
        </a:xfrm>
      </xdr:grpSpPr>
      <xdr:pic>
        <xdr:nvPicPr>
          <xdr:cNvPr id="35" name="Picture 34">
            <a:extLst>
              <a:ext uri="{FF2B5EF4-FFF2-40B4-BE49-F238E27FC236}">
                <a16:creationId xmlns:a16="http://schemas.microsoft.com/office/drawing/2014/main" id="{25599EE1-4AD1-41F5-B87D-D7381E7E592B}"/>
              </a:ext>
            </a:extLst>
          </xdr:cNvPr>
          <xdr:cNvPicPr>
            <a:picLocks noChangeAspect="1"/>
          </xdr:cNvPicPr>
        </xdr:nvPicPr>
        <xdr:blipFill>
          <a:blip xmlns:r="http://schemas.openxmlformats.org/officeDocument/2006/relationships" r:embed="rId12"/>
          <a:stretch>
            <a:fillRect/>
          </a:stretch>
        </xdr:blipFill>
        <xdr:spPr>
          <a:xfrm>
            <a:off x="8153609" y="18606344"/>
            <a:ext cx="2173996" cy="1796418"/>
          </a:xfrm>
          <a:prstGeom prst="rect">
            <a:avLst/>
          </a:prstGeom>
        </xdr:spPr>
      </xdr:pic>
      <xdr:sp macro="" textlink="">
        <xdr:nvSpPr>
          <xdr:cNvPr id="6" name="TextBox 5">
            <a:extLst>
              <a:ext uri="{FF2B5EF4-FFF2-40B4-BE49-F238E27FC236}">
                <a16:creationId xmlns:a16="http://schemas.microsoft.com/office/drawing/2014/main" id="{D83CBE66-5ABA-4591-A7A1-E64EC00DDB9F}"/>
              </a:ext>
            </a:extLst>
          </xdr:cNvPr>
          <xdr:cNvSpPr txBox="1"/>
        </xdr:nvSpPr>
        <xdr:spPr>
          <a:xfrm>
            <a:off x="9340850" y="19230215"/>
            <a:ext cx="379293" cy="2882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R2</a:t>
            </a:r>
          </a:p>
        </xdr:txBody>
      </xdr:sp>
    </xdr:grpSp>
    <xdr:clientData/>
  </xdr:twoCellAnchor>
  <xdr:twoCellAnchor>
    <xdr:from>
      <xdr:col>7</xdr:col>
      <xdr:colOff>71888</xdr:colOff>
      <xdr:row>64</xdr:row>
      <xdr:rowOff>144779</xdr:rowOff>
    </xdr:from>
    <xdr:to>
      <xdr:col>38</xdr:col>
      <xdr:colOff>686521</xdr:colOff>
      <xdr:row>77</xdr:row>
      <xdr:rowOff>7187</xdr:rowOff>
    </xdr:to>
    <xdr:graphicFrame macro="">
      <xdr:nvGraphicFramePr>
        <xdr:cNvPr id="24" name="Chart 23">
          <a:extLst>
            <a:ext uri="{FF2B5EF4-FFF2-40B4-BE49-F238E27FC236}">
              <a16:creationId xmlns:a16="http://schemas.microsoft.com/office/drawing/2014/main" id="{DF0A6787-F01E-47FA-AF39-AB8609634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7</xdr:col>
      <xdr:colOff>114301</xdr:colOff>
      <xdr:row>13</xdr:row>
      <xdr:rowOff>72727</xdr:rowOff>
    </xdr:from>
    <xdr:to>
      <xdr:col>38</xdr:col>
      <xdr:colOff>759949</xdr:colOff>
      <xdr:row>25</xdr:row>
      <xdr:rowOff>41622</xdr:rowOff>
    </xdr:to>
    <xdr:pic>
      <xdr:nvPicPr>
        <xdr:cNvPr id="28" name="Picture 27">
          <a:extLst>
            <a:ext uri="{FF2B5EF4-FFF2-40B4-BE49-F238E27FC236}">
              <a16:creationId xmlns:a16="http://schemas.microsoft.com/office/drawing/2014/main" id="{B9BAEC27-8AB5-42EE-BEC7-F7C94F622502}"/>
            </a:ext>
          </a:extLst>
        </xdr:cNvPr>
        <xdr:cNvPicPr>
          <a:picLocks noChangeAspect="1"/>
        </xdr:cNvPicPr>
      </xdr:nvPicPr>
      <xdr:blipFill>
        <a:blip xmlns:r="http://schemas.openxmlformats.org/officeDocument/2006/relationships" r:embed="rId10"/>
        <a:stretch>
          <a:fillRect/>
        </a:stretch>
      </xdr:blipFill>
      <xdr:spPr>
        <a:xfrm>
          <a:off x="7069348" y="3136902"/>
          <a:ext cx="4653337" cy="2240948"/>
        </a:xfrm>
        <a:prstGeom prst="rect">
          <a:avLst/>
        </a:prstGeom>
      </xdr:spPr>
    </xdr:pic>
    <xdr:clientData/>
  </xdr:twoCellAnchor>
  <xdr:twoCellAnchor>
    <xdr:from>
      <xdr:col>1</xdr:col>
      <xdr:colOff>118572</xdr:colOff>
      <xdr:row>105</xdr:row>
      <xdr:rowOff>63487</xdr:rowOff>
    </xdr:from>
    <xdr:to>
      <xdr:col>4</xdr:col>
      <xdr:colOff>934528</xdr:colOff>
      <xdr:row>118</xdr:row>
      <xdr:rowOff>88074</xdr:rowOff>
    </xdr:to>
    <xdr:grpSp>
      <xdr:nvGrpSpPr>
        <xdr:cNvPr id="17" name="Group 16">
          <a:extLst>
            <a:ext uri="{FF2B5EF4-FFF2-40B4-BE49-F238E27FC236}">
              <a16:creationId xmlns:a16="http://schemas.microsoft.com/office/drawing/2014/main" id="{8DC9FF2B-F2F9-4E19-8CCE-6F9DAAFE475E}"/>
            </a:ext>
          </a:extLst>
        </xdr:cNvPr>
        <xdr:cNvGrpSpPr/>
      </xdr:nvGrpSpPr>
      <xdr:grpSpPr>
        <a:xfrm>
          <a:off x="151702" y="20988670"/>
          <a:ext cx="5063278" cy="2502743"/>
          <a:chOff x="147327" y="21536072"/>
          <a:chExt cx="5057276" cy="2526247"/>
        </a:xfrm>
      </xdr:grpSpPr>
      <xdr:pic>
        <xdr:nvPicPr>
          <xdr:cNvPr id="13" name="Picture 12">
            <a:extLst>
              <a:ext uri="{FF2B5EF4-FFF2-40B4-BE49-F238E27FC236}">
                <a16:creationId xmlns:a16="http://schemas.microsoft.com/office/drawing/2014/main" id="{24C63187-AF1A-488F-A4CB-BCA4D4367A35}"/>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47327" y="21536072"/>
            <a:ext cx="5057276" cy="2526247"/>
          </a:xfrm>
          <a:prstGeom prst="rect">
            <a:avLst/>
          </a:prstGeom>
        </xdr:spPr>
      </xdr:pic>
      <xdr:sp macro="" textlink="">
        <xdr:nvSpPr>
          <xdr:cNvPr id="15" name="TextBox 14">
            <a:extLst>
              <a:ext uri="{FF2B5EF4-FFF2-40B4-BE49-F238E27FC236}">
                <a16:creationId xmlns:a16="http://schemas.microsoft.com/office/drawing/2014/main" id="{AD0F7310-B833-4978-850B-41473D2D210E}"/>
              </a:ext>
            </a:extLst>
          </xdr:cNvPr>
          <xdr:cNvSpPr txBox="1"/>
        </xdr:nvSpPr>
        <xdr:spPr>
          <a:xfrm>
            <a:off x="265982" y="21954226"/>
            <a:ext cx="287546" cy="186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Z1</a:t>
            </a:r>
          </a:p>
        </xdr:txBody>
      </xdr:sp>
    </xdr:grpSp>
    <xdr:clientData/>
  </xdr:twoCellAnchor>
  <xdr:twoCellAnchor editAs="oneCell">
    <xdr:from>
      <xdr:col>1</xdr:col>
      <xdr:colOff>0</xdr:colOff>
      <xdr:row>47</xdr:row>
      <xdr:rowOff>0</xdr:rowOff>
    </xdr:from>
    <xdr:to>
      <xdr:col>1</xdr:col>
      <xdr:colOff>1864708</xdr:colOff>
      <xdr:row>52</xdr:row>
      <xdr:rowOff>110648</xdr:rowOff>
    </xdr:to>
    <xdr:pic>
      <xdr:nvPicPr>
        <xdr:cNvPr id="26" name="Picture 25">
          <a:hlinkClick xmlns:r="http://schemas.openxmlformats.org/officeDocument/2006/relationships" r:id="rId15"/>
          <a:extLst>
            <a:ext uri="{FF2B5EF4-FFF2-40B4-BE49-F238E27FC236}">
              <a16:creationId xmlns:a16="http://schemas.microsoft.com/office/drawing/2014/main" id="{37F4A645-F28B-4CFE-A26A-73340EA67723}"/>
            </a:ext>
          </a:extLst>
        </xdr:cNvPr>
        <xdr:cNvPicPr>
          <a:picLocks noChangeAspect="1"/>
        </xdr:cNvPicPr>
      </xdr:nvPicPr>
      <xdr:blipFill>
        <a:blip xmlns:r="http://schemas.openxmlformats.org/officeDocument/2006/relationships" r:embed="rId16"/>
        <a:stretch>
          <a:fillRect/>
        </a:stretch>
      </xdr:blipFill>
      <xdr:spPr>
        <a:xfrm>
          <a:off x="28755" y="9654396"/>
          <a:ext cx="1864708" cy="1033315"/>
        </a:xfrm>
        <a:prstGeom prst="rect">
          <a:avLst/>
        </a:prstGeom>
      </xdr:spPr>
    </xdr:pic>
    <xdr:clientData/>
  </xdr:twoCellAnchor>
  <xdr:twoCellAnchor editAs="oneCell">
    <xdr:from>
      <xdr:col>1</xdr:col>
      <xdr:colOff>0</xdr:colOff>
      <xdr:row>65</xdr:row>
      <xdr:rowOff>0</xdr:rowOff>
    </xdr:from>
    <xdr:to>
      <xdr:col>1</xdr:col>
      <xdr:colOff>1976725</xdr:colOff>
      <xdr:row>71</xdr:row>
      <xdr:rowOff>80714</xdr:rowOff>
    </xdr:to>
    <xdr:pic>
      <xdr:nvPicPr>
        <xdr:cNvPr id="27" name="Picture 26">
          <a:hlinkClick xmlns:r="http://schemas.openxmlformats.org/officeDocument/2006/relationships" r:id="rId17"/>
          <a:extLst>
            <a:ext uri="{FF2B5EF4-FFF2-40B4-BE49-F238E27FC236}">
              <a16:creationId xmlns:a16="http://schemas.microsoft.com/office/drawing/2014/main" id="{472C6922-F9E6-46A2-97A7-F67DE950C1D1}"/>
            </a:ext>
          </a:extLst>
        </xdr:cNvPr>
        <xdr:cNvPicPr>
          <a:picLocks noChangeAspect="1"/>
        </xdr:cNvPicPr>
      </xdr:nvPicPr>
      <xdr:blipFill>
        <a:blip xmlns:r="http://schemas.openxmlformats.org/officeDocument/2006/relationships" r:embed="rId18"/>
        <a:stretch>
          <a:fillRect/>
        </a:stretch>
      </xdr:blipFill>
      <xdr:spPr>
        <a:xfrm>
          <a:off x="28755" y="13255925"/>
          <a:ext cx="1963390" cy="1146974"/>
        </a:xfrm>
        <a:prstGeom prst="rect">
          <a:avLst/>
        </a:prstGeom>
      </xdr:spPr>
    </xdr:pic>
    <xdr:clientData/>
  </xdr:twoCellAnchor>
  <xdr:twoCellAnchor editAs="oneCell">
    <xdr:from>
      <xdr:col>1</xdr:col>
      <xdr:colOff>0</xdr:colOff>
      <xdr:row>14</xdr:row>
      <xdr:rowOff>0</xdr:rowOff>
    </xdr:from>
    <xdr:to>
      <xdr:col>1</xdr:col>
      <xdr:colOff>1748390</xdr:colOff>
      <xdr:row>18</xdr:row>
      <xdr:rowOff>186921</xdr:rowOff>
    </xdr:to>
    <xdr:pic>
      <xdr:nvPicPr>
        <xdr:cNvPr id="29" name="Picture 28">
          <a:hlinkClick xmlns:r="http://schemas.openxmlformats.org/officeDocument/2006/relationships" r:id="rId19"/>
          <a:extLst>
            <a:ext uri="{FF2B5EF4-FFF2-40B4-BE49-F238E27FC236}">
              <a16:creationId xmlns:a16="http://schemas.microsoft.com/office/drawing/2014/main" id="{B92F952D-6DB1-4628-91B1-0F71D05D08D2}"/>
            </a:ext>
          </a:extLst>
        </xdr:cNvPr>
        <xdr:cNvPicPr>
          <a:picLocks noChangeAspect="1"/>
        </xdr:cNvPicPr>
      </xdr:nvPicPr>
      <xdr:blipFill>
        <a:blip xmlns:r="http://schemas.openxmlformats.org/officeDocument/2006/relationships" r:embed="rId20"/>
        <a:stretch>
          <a:fillRect/>
        </a:stretch>
      </xdr:blipFill>
      <xdr:spPr>
        <a:xfrm>
          <a:off x="28755" y="3249283"/>
          <a:ext cx="1746485" cy="961393"/>
        </a:xfrm>
        <a:prstGeom prst="rect">
          <a:avLst/>
        </a:prstGeom>
      </xdr:spPr>
    </xdr:pic>
    <xdr:clientData/>
  </xdr:twoCellAnchor>
  <xdr:twoCellAnchor editAs="oneCell">
    <xdr:from>
      <xdr:col>1</xdr:col>
      <xdr:colOff>0</xdr:colOff>
      <xdr:row>28</xdr:row>
      <xdr:rowOff>0</xdr:rowOff>
    </xdr:from>
    <xdr:to>
      <xdr:col>1</xdr:col>
      <xdr:colOff>1748390</xdr:colOff>
      <xdr:row>32</xdr:row>
      <xdr:rowOff>186921</xdr:rowOff>
    </xdr:to>
    <xdr:pic>
      <xdr:nvPicPr>
        <xdr:cNvPr id="30" name="Picture 29">
          <a:hlinkClick xmlns:r="http://schemas.openxmlformats.org/officeDocument/2006/relationships" r:id="rId19"/>
          <a:extLst>
            <a:ext uri="{FF2B5EF4-FFF2-40B4-BE49-F238E27FC236}">
              <a16:creationId xmlns:a16="http://schemas.microsoft.com/office/drawing/2014/main" id="{7A6B628A-995E-436A-BA94-A2BA9321C0F4}"/>
            </a:ext>
          </a:extLst>
        </xdr:cNvPr>
        <xdr:cNvPicPr>
          <a:picLocks noChangeAspect="1"/>
        </xdr:cNvPicPr>
      </xdr:nvPicPr>
      <xdr:blipFill>
        <a:blip xmlns:r="http://schemas.openxmlformats.org/officeDocument/2006/relationships" r:embed="rId20"/>
        <a:stretch>
          <a:fillRect/>
        </a:stretch>
      </xdr:blipFill>
      <xdr:spPr>
        <a:xfrm>
          <a:off x="28755" y="5966604"/>
          <a:ext cx="1746485" cy="961393"/>
        </a:xfrm>
        <a:prstGeom prst="rect">
          <a:avLst/>
        </a:prstGeom>
      </xdr:spPr>
    </xdr:pic>
    <xdr:clientData/>
  </xdr:twoCellAnchor>
  <xdr:twoCellAnchor editAs="oneCell">
    <xdr:from>
      <xdr:col>7</xdr:col>
      <xdr:colOff>55419</xdr:colOff>
      <xdr:row>27</xdr:row>
      <xdr:rowOff>91331</xdr:rowOff>
    </xdr:from>
    <xdr:to>
      <xdr:col>38</xdr:col>
      <xdr:colOff>688776</xdr:colOff>
      <xdr:row>44</xdr:row>
      <xdr:rowOff>152400</xdr:rowOff>
    </xdr:to>
    <xdr:pic>
      <xdr:nvPicPr>
        <xdr:cNvPr id="31" name="Picture 30">
          <a:extLst>
            <a:ext uri="{FF2B5EF4-FFF2-40B4-BE49-F238E27FC236}">
              <a16:creationId xmlns:a16="http://schemas.microsoft.com/office/drawing/2014/main" id="{03BBED70-2E3F-4EA1-8DB4-54E18EEC8FEB}"/>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7211593" y="5882531"/>
          <a:ext cx="4734905" cy="332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182</xdr:row>
      <xdr:rowOff>133350</xdr:rowOff>
    </xdr:from>
    <xdr:to>
      <xdr:col>9</xdr:col>
      <xdr:colOff>276225</xdr:colOff>
      <xdr:row>193</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500482/AppData/Local/Microsoft/Windows/INetCache/Content.Outlook/W324GN3S/TPS4811-Q1_Design_Calculator_Rev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 Sheet"/>
      <sheetName val="Res EIA Tables"/>
      <sheetName val="Cap Tables"/>
      <sheetName val="Nretry"/>
    </sheetNames>
    <sheetDataSet>
      <sheetData sheetId="0" refreshError="1">
        <row r="6">
          <cell r="D6">
            <v>48</v>
          </cell>
        </row>
        <row r="7">
          <cell r="D7">
            <v>24</v>
          </cell>
        </row>
        <row r="8">
          <cell r="D8">
            <v>60</v>
          </cell>
        </row>
        <row r="9">
          <cell r="D9">
            <v>440</v>
          </cell>
        </row>
        <row r="11">
          <cell r="D11">
            <v>422.4</v>
          </cell>
        </row>
        <row r="12">
          <cell r="D12">
            <v>42</v>
          </cell>
        </row>
        <row r="13">
          <cell r="D13">
            <v>50.4</v>
          </cell>
        </row>
        <row r="14">
          <cell r="D14">
            <v>60.48</v>
          </cell>
        </row>
        <row r="16">
          <cell r="D16">
            <v>1000</v>
          </cell>
        </row>
        <row r="18">
          <cell r="D18">
            <v>3.3</v>
          </cell>
        </row>
        <row r="22">
          <cell r="D22">
            <v>100</v>
          </cell>
        </row>
        <row r="25">
          <cell r="D25">
            <v>48.7</v>
          </cell>
        </row>
        <row r="26">
          <cell r="D26">
            <v>49.261601642710467</v>
          </cell>
        </row>
        <row r="32">
          <cell r="D32">
            <v>1.43</v>
          </cell>
        </row>
        <row r="37">
          <cell r="D37">
            <v>15</v>
          </cell>
        </row>
        <row r="43">
          <cell r="D43">
            <v>68</v>
          </cell>
        </row>
        <row r="61">
          <cell r="D61">
            <v>100</v>
          </cell>
        </row>
        <row r="104">
          <cell r="D104">
            <v>1.18</v>
          </cell>
        </row>
        <row r="105">
          <cell r="D105">
            <v>1.1200000000000001</v>
          </cell>
        </row>
        <row r="106">
          <cell r="D106">
            <v>1.18</v>
          </cell>
        </row>
        <row r="107">
          <cell r="D107">
            <v>1.1200000000000001</v>
          </cell>
        </row>
        <row r="108">
          <cell r="D108">
            <v>8</v>
          </cell>
        </row>
        <row r="109">
          <cell r="D109">
            <v>12</v>
          </cell>
        </row>
        <row r="110">
          <cell r="D110">
            <v>100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 val="Device Parmaters"/>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refreshError="1"/>
      <sheetData sheetId="1" refreshError="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gpn/lm74900-q1"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training.ti.com/node/1133677" TargetMode="External"/><Relationship Id="rId7" Type="http://schemas.openxmlformats.org/officeDocument/2006/relationships/vmlDrawing" Target="../drawings/vmlDrawing1.vml"/><Relationship Id="rId2" Type="http://schemas.openxmlformats.org/officeDocument/2006/relationships/hyperlink" Target="https://training.ti.com/node/1133664" TargetMode="External"/><Relationship Id="rId1" Type="http://schemas.openxmlformats.org/officeDocument/2006/relationships/hyperlink" Target="https://training.ti.com/node/1133673"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training.ti.com/node/113367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hyperlink" Target="http://www.rfcafe.com/references/electrical/capacitor-values.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7"/>
  <sheetViews>
    <sheetView topLeftCell="A7" workbookViewId="0">
      <selection activeCell="B9" sqref="B9"/>
    </sheetView>
  </sheetViews>
  <sheetFormatPr defaultRowHeight="13.2" x14ac:dyDescent="0.25"/>
  <sheetData>
    <row r="1" spans="1:16" ht="13.8" thickTop="1" x14ac:dyDescent="0.25">
      <c r="A1" s="155"/>
      <c r="B1" s="156"/>
      <c r="C1" s="156"/>
      <c r="D1" s="156"/>
      <c r="E1" s="156"/>
      <c r="F1" s="156"/>
      <c r="G1" s="156"/>
      <c r="H1" s="156"/>
      <c r="I1" s="156"/>
      <c r="J1" s="156"/>
      <c r="K1" s="156"/>
      <c r="L1" s="156"/>
      <c r="M1" s="156"/>
      <c r="N1" s="156"/>
      <c r="O1" s="156"/>
      <c r="P1" s="157"/>
    </row>
    <row r="2" spans="1:16" x14ac:dyDescent="0.25">
      <c r="A2" s="158"/>
      <c r="B2" s="159"/>
      <c r="C2" s="159"/>
      <c r="D2" s="159"/>
      <c r="E2" s="159"/>
      <c r="F2" s="159"/>
      <c r="G2" s="159"/>
      <c r="H2" s="159"/>
      <c r="I2" s="159"/>
      <c r="J2" s="159"/>
      <c r="K2" s="159"/>
      <c r="L2" s="159"/>
      <c r="M2" s="159"/>
      <c r="N2" s="159"/>
      <c r="O2" s="159"/>
      <c r="P2" s="160"/>
    </row>
    <row r="3" spans="1:16" ht="30" x14ac:dyDescent="0.5">
      <c r="A3" s="158"/>
      <c r="B3" s="159"/>
      <c r="C3" s="159"/>
      <c r="D3" s="161"/>
      <c r="E3" s="159"/>
      <c r="F3" s="159"/>
      <c r="G3" s="159"/>
      <c r="H3" s="159"/>
      <c r="I3" s="159"/>
      <c r="J3" s="159"/>
      <c r="K3" s="159"/>
      <c r="L3" s="162"/>
      <c r="M3" s="159"/>
      <c r="N3" s="159"/>
      <c r="O3" s="159"/>
      <c r="P3" s="160"/>
    </row>
    <row r="4" spans="1:16" ht="22.8" x14ac:dyDescent="0.4">
      <c r="A4" s="158"/>
      <c r="B4" s="159"/>
      <c r="C4" s="159"/>
      <c r="D4" s="163"/>
      <c r="E4" s="159"/>
      <c r="F4" s="159"/>
      <c r="G4" s="159"/>
      <c r="H4" s="159"/>
      <c r="I4" s="159"/>
      <c r="J4" s="159"/>
      <c r="K4" s="159"/>
      <c r="L4" s="159"/>
      <c r="M4" s="159"/>
      <c r="N4" s="159"/>
      <c r="O4" s="159"/>
      <c r="P4" s="160"/>
    </row>
    <row r="5" spans="1:16" x14ac:dyDescent="0.25">
      <c r="A5" s="158"/>
      <c r="B5" s="159"/>
      <c r="C5" s="159"/>
      <c r="D5" s="159"/>
      <c r="E5" s="159"/>
      <c r="F5" s="159"/>
      <c r="G5" s="159"/>
      <c r="H5" s="159"/>
      <c r="I5" s="159"/>
      <c r="J5" s="159"/>
      <c r="K5" s="159"/>
      <c r="L5" s="159"/>
      <c r="M5" s="159"/>
      <c r="N5" s="159"/>
      <c r="O5" s="159"/>
      <c r="P5" s="160"/>
    </row>
    <row r="6" spans="1:16" x14ac:dyDescent="0.25">
      <c r="A6" s="158"/>
      <c r="B6" s="159"/>
      <c r="C6" s="159"/>
      <c r="D6" s="159"/>
      <c r="E6" s="159"/>
      <c r="F6" s="159"/>
      <c r="G6" s="159"/>
      <c r="H6" s="159"/>
      <c r="I6" s="159"/>
      <c r="J6" s="159"/>
      <c r="K6" s="159"/>
      <c r="L6" s="159"/>
      <c r="M6" s="159"/>
      <c r="N6" s="159"/>
      <c r="O6" s="159"/>
      <c r="P6" s="160"/>
    </row>
    <row r="7" spans="1:16" ht="15.6" x14ac:dyDescent="0.3">
      <c r="A7" s="158"/>
      <c r="B7" s="159"/>
      <c r="C7" s="159"/>
      <c r="D7" s="159"/>
      <c r="E7" s="159"/>
      <c r="F7" s="159"/>
      <c r="G7" s="159"/>
      <c r="H7" s="159"/>
      <c r="I7" s="159"/>
      <c r="J7" s="159"/>
      <c r="K7" s="159"/>
      <c r="L7" s="159"/>
      <c r="M7" s="162" t="s">
        <v>414</v>
      </c>
      <c r="N7" s="159"/>
      <c r="O7" s="159"/>
      <c r="P7" s="160"/>
    </row>
    <row r="8" spans="1:16" ht="30" x14ac:dyDescent="0.5">
      <c r="A8" s="158"/>
      <c r="B8" s="161" t="s">
        <v>479</v>
      </c>
      <c r="C8" s="159"/>
      <c r="D8" s="159"/>
      <c r="E8" s="159"/>
      <c r="F8" s="159"/>
      <c r="G8" s="159"/>
      <c r="H8" s="159"/>
      <c r="I8" s="159"/>
      <c r="J8" s="159"/>
      <c r="K8" s="159"/>
      <c r="L8" s="159"/>
      <c r="M8" s="159"/>
      <c r="N8" s="159"/>
      <c r="O8" s="159"/>
      <c r="P8" s="160"/>
    </row>
    <row r="9" spans="1:16" x14ac:dyDescent="0.25">
      <c r="A9" s="158"/>
      <c r="B9" s="159"/>
      <c r="C9" s="159"/>
      <c r="D9" s="159"/>
      <c r="E9" s="159"/>
      <c r="F9" s="159"/>
      <c r="G9" s="159"/>
      <c r="H9" s="159"/>
      <c r="I9" s="159"/>
      <c r="J9" s="159"/>
      <c r="K9" s="159"/>
      <c r="L9" s="159"/>
      <c r="M9" s="159"/>
      <c r="N9" s="159"/>
      <c r="O9" s="159"/>
      <c r="P9" s="160"/>
    </row>
    <row r="10" spans="1:16" ht="20.399999999999999" x14ac:dyDescent="0.35">
      <c r="A10" s="158"/>
      <c r="B10" s="164" t="s">
        <v>351</v>
      </c>
      <c r="C10" s="165"/>
      <c r="D10" s="165"/>
      <c r="E10" s="165"/>
      <c r="F10" s="159"/>
      <c r="G10" s="159"/>
      <c r="H10" s="159"/>
      <c r="I10" s="159"/>
      <c r="J10" s="159"/>
      <c r="K10" s="159"/>
      <c r="L10" s="159"/>
      <c r="M10" s="159"/>
      <c r="N10" s="159"/>
      <c r="O10" s="159"/>
      <c r="P10" s="160"/>
    </row>
    <row r="11" spans="1:16" ht="13.8" x14ac:dyDescent="0.25">
      <c r="A11" s="158"/>
      <c r="B11" s="166" t="s">
        <v>352</v>
      </c>
      <c r="C11" s="167"/>
      <c r="D11" s="167"/>
      <c r="E11" s="167"/>
      <c r="F11" s="159"/>
      <c r="G11" s="159"/>
      <c r="H11" s="159"/>
      <c r="I11" s="159"/>
      <c r="J11" s="159"/>
      <c r="K11" s="159"/>
      <c r="L11" s="159"/>
      <c r="M11" s="159"/>
      <c r="N11" s="159"/>
      <c r="O11" s="159"/>
      <c r="P11" s="160"/>
    </row>
    <row r="12" spans="1:16" ht="13.8" x14ac:dyDescent="0.25">
      <c r="A12" s="158"/>
      <c r="B12" s="166" t="s">
        <v>353</v>
      </c>
      <c r="C12" s="167"/>
      <c r="D12" s="167"/>
      <c r="E12" s="167"/>
      <c r="F12" s="159"/>
      <c r="G12" s="159"/>
      <c r="H12" s="159"/>
      <c r="I12" s="159"/>
      <c r="J12" s="159"/>
      <c r="K12" s="159"/>
      <c r="L12" s="159"/>
      <c r="M12" s="159"/>
      <c r="N12" s="159"/>
      <c r="O12" s="159"/>
      <c r="P12" s="160"/>
    </row>
    <row r="13" spans="1:16" ht="13.8" x14ac:dyDescent="0.25">
      <c r="A13" s="158"/>
      <c r="B13" s="166"/>
      <c r="C13" s="167"/>
      <c r="D13" s="167"/>
      <c r="E13" s="167"/>
      <c r="F13" s="159"/>
      <c r="G13" s="159"/>
      <c r="H13" s="159"/>
      <c r="I13" s="159"/>
      <c r="J13" s="159"/>
      <c r="K13" s="159"/>
      <c r="L13" s="159"/>
      <c r="M13" s="159"/>
      <c r="N13" s="159"/>
      <c r="O13" s="159"/>
      <c r="P13" s="160"/>
    </row>
    <row r="14" spans="1:16" x14ac:dyDescent="0.25">
      <c r="A14" s="158"/>
      <c r="B14" s="309"/>
      <c r="C14" s="309"/>
      <c r="D14" s="309"/>
      <c r="E14" s="165"/>
      <c r="F14" s="159"/>
      <c r="G14" s="159"/>
      <c r="H14" s="159"/>
      <c r="I14" s="159"/>
      <c r="J14" s="159"/>
      <c r="K14" s="159"/>
      <c r="L14" s="159"/>
      <c r="M14" s="159"/>
      <c r="N14" s="159"/>
      <c r="O14" s="159"/>
      <c r="P14" s="160"/>
    </row>
    <row r="15" spans="1:16" x14ac:dyDescent="0.25">
      <c r="A15" s="158"/>
      <c r="B15" s="299" t="s">
        <v>478</v>
      </c>
      <c r="C15" s="299"/>
      <c r="D15" s="299"/>
      <c r="E15" s="299"/>
      <c r="F15" s="299"/>
      <c r="G15" s="299"/>
      <c r="H15" s="299"/>
      <c r="I15" s="299"/>
      <c r="J15" s="159"/>
      <c r="K15" s="159"/>
      <c r="L15" s="159"/>
      <c r="M15" s="159"/>
      <c r="N15" s="159"/>
      <c r="O15" s="159"/>
      <c r="P15" s="160"/>
    </row>
    <row r="16" spans="1:16" x14ac:dyDescent="0.25">
      <c r="A16" s="158"/>
      <c r="B16" s="165"/>
      <c r="C16" s="165"/>
      <c r="D16" s="165"/>
      <c r="E16" s="165"/>
      <c r="F16" s="159"/>
      <c r="G16" s="159"/>
      <c r="H16" s="159"/>
      <c r="I16" s="159"/>
      <c r="J16" s="159"/>
      <c r="K16" s="159"/>
      <c r="L16" s="159"/>
      <c r="M16" s="159"/>
      <c r="N16" s="159"/>
      <c r="O16" s="159"/>
      <c r="P16" s="160"/>
    </row>
    <row r="17" spans="1:16" x14ac:dyDescent="0.25">
      <c r="A17" s="158"/>
      <c r="B17" s="168" t="s">
        <v>354</v>
      </c>
      <c r="C17" s="165"/>
      <c r="D17" s="165"/>
      <c r="E17" s="165"/>
      <c r="F17" s="159"/>
      <c r="G17" s="159"/>
      <c r="H17" s="159"/>
      <c r="I17" s="159"/>
      <c r="J17" s="159"/>
      <c r="K17" s="159"/>
      <c r="L17" s="159"/>
      <c r="M17" s="159"/>
      <c r="N17" s="159"/>
      <c r="O17" s="159"/>
      <c r="P17" s="160"/>
    </row>
    <row r="18" spans="1:16" x14ac:dyDescent="0.25">
      <c r="A18" s="158"/>
      <c r="B18" s="169" t="s">
        <v>355</v>
      </c>
      <c r="C18" s="165"/>
      <c r="D18" s="165"/>
      <c r="E18" s="165"/>
      <c r="F18" s="159"/>
      <c r="G18" s="159"/>
      <c r="H18" s="159"/>
      <c r="I18" s="159"/>
      <c r="J18" s="159"/>
      <c r="K18" s="159"/>
      <c r="L18" s="159"/>
      <c r="M18" s="159"/>
      <c r="N18" s="159"/>
      <c r="O18" s="159"/>
      <c r="P18" s="160"/>
    </row>
    <row r="19" spans="1:16" x14ac:dyDescent="0.25">
      <c r="A19" s="158"/>
      <c r="B19" s="169" t="s">
        <v>356</v>
      </c>
      <c r="C19" s="165"/>
      <c r="D19" s="165"/>
      <c r="E19" s="165"/>
      <c r="F19" s="159"/>
      <c r="G19" s="159"/>
      <c r="H19" s="159"/>
      <c r="I19" s="159"/>
      <c r="J19" s="159"/>
      <c r="K19" s="159"/>
      <c r="L19" s="159"/>
      <c r="M19" s="159"/>
      <c r="N19" s="159"/>
      <c r="O19" s="159"/>
      <c r="P19" s="160"/>
    </row>
    <row r="20" spans="1:16" x14ac:dyDescent="0.25">
      <c r="A20" s="158"/>
      <c r="B20" s="169" t="s">
        <v>458</v>
      </c>
      <c r="C20" s="165"/>
      <c r="D20" s="165"/>
      <c r="E20" s="165"/>
      <c r="F20" s="159"/>
      <c r="G20" s="159"/>
      <c r="H20" s="159"/>
      <c r="I20" s="159"/>
      <c r="J20" s="159"/>
      <c r="K20" s="159"/>
      <c r="L20" s="159"/>
      <c r="M20" s="159"/>
      <c r="N20" s="159"/>
      <c r="O20" s="159"/>
      <c r="P20" s="160"/>
    </row>
    <row r="21" spans="1:16" x14ac:dyDescent="0.25">
      <c r="A21" s="158"/>
      <c r="B21" s="169" t="s">
        <v>357</v>
      </c>
      <c r="C21" s="165"/>
      <c r="D21" s="165"/>
      <c r="E21" s="165"/>
      <c r="F21" s="159"/>
      <c r="G21" s="159"/>
      <c r="H21" s="159"/>
      <c r="I21" s="159"/>
      <c r="J21" s="159"/>
      <c r="K21" s="159"/>
      <c r="L21" s="159"/>
      <c r="M21" s="159"/>
      <c r="N21" s="159"/>
      <c r="O21" s="159"/>
      <c r="P21" s="160"/>
    </row>
    <row r="22" spans="1:16" x14ac:dyDescent="0.25">
      <c r="A22" s="158"/>
      <c r="B22" s="169" t="s">
        <v>358</v>
      </c>
      <c r="C22" s="165"/>
      <c r="D22" s="165"/>
      <c r="E22" s="165"/>
      <c r="F22" s="159"/>
      <c r="G22" s="159"/>
      <c r="H22" s="159"/>
      <c r="I22" s="159"/>
      <c r="J22" s="159"/>
      <c r="K22" s="159"/>
      <c r="L22" s="159"/>
      <c r="M22" s="159"/>
      <c r="N22" s="159"/>
      <c r="O22" s="159"/>
      <c r="P22" s="160"/>
    </row>
    <row r="23" spans="1:16" x14ac:dyDescent="0.25">
      <c r="A23" s="158"/>
      <c r="B23" s="169" t="s">
        <v>359</v>
      </c>
      <c r="C23" s="165"/>
      <c r="D23" s="165"/>
      <c r="E23" s="165"/>
      <c r="F23" s="159"/>
      <c r="G23" s="159"/>
      <c r="H23" s="159"/>
      <c r="I23" s="159"/>
      <c r="J23" s="159"/>
      <c r="K23" s="159"/>
      <c r="L23" s="159"/>
      <c r="M23" s="159"/>
      <c r="N23" s="159"/>
      <c r="O23" s="159"/>
      <c r="P23" s="160"/>
    </row>
    <row r="24" spans="1:16" x14ac:dyDescent="0.25">
      <c r="A24" s="158"/>
      <c r="B24" s="169" t="s">
        <v>360</v>
      </c>
      <c r="C24" s="165"/>
      <c r="D24" s="165"/>
      <c r="E24" s="165"/>
      <c r="F24" s="159"/>
      <c r="G24" s="159"/>
      <c r="H24" s="159"/>
      <c r="I24" s="159"/>
      <c r="J24" s="159"/>
      <c r="K24" s="159"/>
      <c r="L24" s="159"/>
      <c r="M24" s="159"/>
      <c r="N24" s="159"/>
      <c r="O24" s="159"/>
      <c r="P24" s="160"/>
    </row>
    <row r="25" spans="1:16" x14ac:dyDescent="0.25">
      <c r="A25" s="158"/>
      <c r="B25" s="169"/>
      <c r="C25" s="165"/>
      <c r="D25" s="165"/>
      <c r="E25" s="165"/>
      <c r="F25" s="159"/>
      <c r="G25" s="159"/>
      <c r="H25" s="159"/>
      <c r="I25" s="159"/>
      <c r="J25" s="159"/>
      <c r="K25" s="159"/>
      <c r="L25" s="159"/>
      <c r="M25" s="159"/>
      <c r="N25" s="159"/>
      <c r="O25" s="159"/>
      <c r="P25" s="160"/>
    </row>
    <row r="26" spans="1:16" ht="20.399999999999999" x14ac:dyDescent="0.35">
      <c r="A26" s="158"/>
      <c r="B26" s="164" t="s">
        <v>361</v>
      </c>
      <c r="C26" s="159"/>
      <c r="D26" s="159"/>
      <c r="E26" s="159"/>
      <c r="F26" s="159"/>
      <c r="G26" s="159"/>
      <c r="H26" s="159"/>
      <c r="I26" s="159"/>
      <c r="J26" s="159"/>
      <c r="K26" s="159"/>
      <c r="L26" s="159"/>
      <c r="M26" s="159"/>
      <c r="N26" s="159"/>
      <c r="O26" s="159"/>
      <c r="P26" s="160"/>
    </row>
    <row r="27" spans="1:16" x14ac:dyDescent="0.25">
      <c r="A27" s="158"/>
      <c r="B27" s="173" t="s">
        <v>362</v>
      </c>
      <c r="C27" s="159"/>
      <c r="D27" s="159"/>
      <c r="E27" s="159"/>
      <c r="F27" s="159"/>
      <c r="G27" s="159"/>
      <c r="H27" s="159"/>
      <c r="I27" s="159"/>
      <c r="J27" s="159"/>
      <c r="K27" s="159"/>
      <c r="L27" s="159"/>
      <c r="M27" s="159"/>
      <c r="N27" s="159"/>
      <c r="O27" s="159"/>
      <c r="P27" s="160"/>
    </row>
    <row r="28" spans="1:16" x14ac:dyDescent="0.25">
      <c r="A28" s="158"/>
      <c r="B28" s="159" t="s">
        <v>363</v>
      </c>
      <c r="C28" s="159"/>
      <c r="D28" s="159"/>
      <c r="E28" s="159"/>
      <c r="F28" s="159"/>
      <c r="G28" s="159"/>
      <c r="H28" s="159"/>
      <c r="I28" s="159"/>
      <c r="J28" s="159"/>
      <c r="K28" s="159"/>
      <c r="L28" s="159"/>
      <c r="M28" s="159"/>
      <c r="N28" s="159"/>
      <c r="O28" s="159"/>
      <c r="P28" s="160"/>
    </row>
    <row r="29" spans="1:16" x14ac:dyDescent="0.25">
      <c r="A29" s="158"/>
      <c r="B29" s="159"/>
      <c r="C29" s="159"/>
      <c r="D29" s="159"/>
      <c r="E29" s="159"/>
      <c r="F29" s="159"/>
      <c r="G29" s="159"/>
      <c r="H29" s="159"/>
      <c r="I29" s="159"/>
      <c r="J29" s="159"/>
      <c r="K29" s="159"/>
      <c r="L29" s="159"/>
      <c r="M29" s="159"/>
      <c r="N29" s="159"/>
      <c r="O29" s="159"/>
      <c r="P29" s="160"/>
    </row>
    <row r="30" spans="1:16" x14ac:dyDescent="0.25">
      <c r="A30" s="158"/>
      <c r="B30" s="173" t="s">
        <v>364</v>
      </c>
      <c r="C30" s="159"/>
      <c r="D30" s="159"/>
      <c r="E30" s="159"/>
      <c r="F30" s="159"/>
      <c r="G30" s="159"/>
      <c r="H30" s="159"/>
      <c r="I30" s="159"/>
      <c r="J30" s="159"/>
      <c r="K30" s="159"/>
      <c r="L30" s="159"/>
      <c r="M30" s="159"/>
      <c r="N30" s="159"/>
      <c r="O30" s="159"/>
      <c r="P30" s="160"/>
    </row>
    <row r="31" spans="1:16" x14ac:dyDescent="0.25">
      <c r="A31" s="158"/>
      <c r="B31" s="159"/>
      <c r="C31" s="159"/>
      <c r="D31" s="159"/>
      <c r="E31" s="159"/>
      <c r="F31" s="159"/>
      <c r="G31" s="159"/>
      <c r="H31" s="159"/>
      <c r="I31" s="159"/>
      <c r="J31" s="159"/>
      <c r="K31" s="159"/>
      <c r="L31" s="159"/>
      <c r="M31" s="159"/>
      <c r="N31" s="159"/>
      <c r="O31" s="159"/>
      <c r="P31" s="160"/>
    </row>
    <row r="32" spans="1:16" x14ac:dyDescent="0.25">
      <c r="A32" s="158"/>
      <c r="B32" s="159" t="s">
        <v>365</v>
      </c>
      <c r="C32" s="159"/>
      <c r="D32" s="159"/>
      <c r="E32" s="159"/>
      <c r="F32" s="159"/>
      <c r="G32" s="159"/>
      <c r="H32" s="159"/>
      <c r="I32" s="159"/>
      <c r="J32" s="159"/>
      <c r="K32" s="159"/>
      <c r="L32" s="159"/>
      <c r="M32" s="159"/>
      <c r="N32" s="159"/>
      <c r="O32" s="159"/>
      <c r="P32" s="160"/>
    </row>
    <row r="33" spans="1:16" ht="13.8" thickBot="1" x14ac:dyDescent="0.3">
      <c r="A33" s="158"/>
      <c r="B33" s="173"/>
      <c r="C33" s="159"/>
      <c r="D33" s="159"/>
      <c r="E33" s="159"/>
      <c r="F33" s="159"/>
      <c r="G33" s="159"/>
      <c r="H33" s="159"/>
      <c r="I33" s="159"/>
      <c r="J33" s="159"/>
      <c r="K33" s="159"/>
      <c r="L33" s="159"/>
      <c r="M33" s="159"/>
      <c r="N33" s="159"/>
      <c r="O33" s="159"/>
      <c r="P33" s="160"/>
    </row>
    <row r="34" spans="1:16" x14ac:dyDescent="0.25">
      <c r="A34" s="158"/>
      <c r="B34" s="300" t="s">
        <v>377</v>
      </c>
      <c r="C34" s="301"/>
      <c r="D34" s="301"/>
      <c r="E34" s="301"/>
      <c r="F34" s="301"/>
      <c r="G34" s="301"/>
      <c r="H34" s="301"/>
      <c r="I34" s="301"/>
      <c r="J34" s="301"/>
      <c r="K34" s="301"/>
      <c r="L34" s="301"/>
      <c r="M34" s="302"/>
      <c r="N34" s="159"/>
      <c r="O34" s="159"/>
      <c r="P34" s="160"/>
    </row>
    <row r="35" spans="1:16" x14ac:dyDescent="0.25">
      <c r="A35" s="158"/>
      <c r="B35" s="303"/>
      <c r="C35" s="304"/>
      <c r="D35" s="304"/>
      <c r="E35" s="304"/>
      <c r="F35" s="304"/>
      <c r="G35" s="304"/>
      <c r="H35" s="304"/>
      <c r="I35" s="304"/>
      <c r="J35" s="304"/>
      <c r="K35" s="304"/>
      <c r="L35" s="304"/>
      <c r="M35" s="305"/>
      <c r="N35" s="159"/>
      <c r="O35" s="159"/>
      <c r="P35" s="160"/>
    </row>
    <row r="36" spans="1:16" x14ac:dyDescent="0.25">
      <c r="A36" s="158"/>
      <c r="B36" s="303"/>
      <c r="C36" s="304"/>
      <c r="D36" s="304"/>
      <c r="E36" s="304"/>
      <c r="F36" s="304"/>
      <c r="G36" s="304"/>
      <c r="H36" s="304"/>
      <c r="I36" s="304"/>
      <c r="J36" s="304"/>
      <c r="K36" s="304"/>
      <c r="L36" s="304"/>
      <c r="M36" s="305"/>
      <c r="N36" s="159"/>
      <c r="O36" s="159"/>
      <c r="P36" s="160"/>
    </row>
    <row r="37" spans="1:16" x14ac:dyDescent="0.25">
      <c r="A37" s="158"/>
      <c r="B37" s="303"/>
      <c r="C37" s="304"/>
      <c r="D37" s="304"/>
      <c r="E37" s="304"/>
      <c r="F37" s="304"/>
      <c r="G37" s="304"/>
      <c r="H37" s="304"/>
      <c r="I37" s="304"/>
      <c r="J37" s="304"/>
      <c r="K37" s="304"/>
      <c r="L37" s="304"/>
      <c r="M37" s="305"/>
      <c r="N37" s="159"/>
      <c r="O37" s="159"/>
      <c r="P37" s="160"/>
    </row>
    <row r="38" spans="1:16" x14ac:dyDescent="0.25">
      <c r="A38" s="158"/>
      <c r="B38" s="303"/>
      <c r="C38" s="304"/>
      <c r="D38" s="304"/>
      <c r="E38" s="304"/>
      <c r="F38" s="304"/>
      <c r="G38" s="304"/>
      <c r="H38" s="304"/>
      <c r="I38" s="304"/>
      <c r="J38" s="304"/>
      <c r="K38" s="304"/>
      <c r="L38" s="304"/>
      <c r="M38" s="305"/>
      <c r="N38" s="159"/>
      <c r="O38" s="159"/>
      <c r="P38" s="160"/>
    </row>
    <row r="39" spans="1:16" x14ac:dyDescent="0.25">
      <c r="A39" s="158"/>
      <c r="B39" s="303"/>
      <c r="C39" s="304"/>
      <c r="D39" s="304"/>
      <c r="E39" s="304"/>
      <c r="F39" s="304"/>
      <c r="G39" s="304"/>
      <c r="H39" s="304"/>
      <c r="I39" s="304"/>
      <c r="J39" s="304"/>
      <c r="K39" s="304"/>
      <c r="L39" s="304"/>
      <c r="M39" s="305"/>
      <c r="N39" s="159"/>
      <c r="O39" s="159"/>
      <c r="P39" s="160"/>
    </row>
    <row r="40" spans="1:16" x14ac:dyDescent="0.25">
      <c r="A40" s="158"/>
      <c r="B40" s="303"/>
      <c r="C40" s="304"/>
      <c r="D40" s="304"/>
      <c r="E40" s="304"/>
      <c r="F40" s="304"/>
      <c r="G40" s="304"/>
      <c r="H40" s="304"/>
      <c r="I40" s="304"/>
      <c r="J40" s="304"/>
      <c r="K40" s="304"/>
      <c r="L40" s="304"/>
      <c r="M40" s="305"/>
      <c r="N40" s="159"/>
      <c r="O40" s="159"/>
      <c r="P40" s="160"/>
    </row>
    <row r="41" spans="1:16" x14ac:dyDescent="0.25">
      <c r="A41" s="158"/>
      <c r="B41" s="303"/>
      <c r="C41" s="304"/>
      <c r="D41" s="304"/>
      <c r="E41" s="304"/>
      <c r="F41" s="304"/>
      <c r="G41" s="304"/>
      <c r="H41" s="304"/>
      <c r="I41" s="304"/>
      <c r="J41" s="304"/>
      <c r="K41" s="304"/>
      <c r="L41" s="304"/>
      <c r="M41" s="305"/>
      <c r="N41" s="159"/>
      <c r="O41" s="159"/>
      <c r="P41" s="160"/>
    </row>
    <row r="42" spans="1:16" x14ac:dyDescent="0.25">
      <c r="A42" s="158"/>
      <c r="B42" s="303"/>
      <c r="C42" s="304"/>
      <c r="D42" s="304"/>
      <c r="E42" s="304"/>
      <c r="F42" s="304"/>
      <c r="G42" s="304"/>
      <c r="H42" s="304"/>
      <c r="I42" s="304"/>
      <c r="J42" s="304"/>
      <c r="K42" s="304"/>
      <c r="L42" s="304"/>
      <c r="M42" s="305"/>
      <c r="N42" s="159"/>
      <c r="O42" s="159"/>
      <c r="P42" s="160"/>
    </row>
    <row r="43" spans="1:16" x14ac:dyDescent="0.25">
      <c r="A43" s="158"/>
      <c r="B43" s="303"/>
      <c r="C43" s="304"/>
      <c r="D43" s="304"/>
      <c r="E43" s="304"/>
      <c r="F43" s="304"/>
      <c r="G43" s="304"/>
      <c r="H43" s="304"/>
      <c r="I43" s="304"/>
      <c r="J43" s="304"/>
      <c r="K43" s="304"/>
      <c r="L43" s="304"/>
      <c r="M43" s="305"/>
      <c r="N43" s="159"/>
      <c r="O43" s="159"/>
      <c r="P43" s="160"/>
    </row>
    <row r="44" spans="1:16" x14ac:dyDescent="0.25">
      <c r="A44" s="158"/>
      <c r="B44" s="303"/>
      <c r="C44" s="304"/>
      <c r="D44" s="304"/>
      <c r="E44" s="304"/>
      <c r="F44" s="304"/>
      <c r="G44" s="304"/>
      <c r="H44" s="304"/>
      <c r="I44" s="304"/>
      <c r="J44" s="304"/>
      <c r="K44" s="304"/>
      <c r="L44" s="304"/>
      <c r="M44" s="305"/>
      <c r="N44" s="159"/>
      <c r="O44" s="159"/>
      <c r="P44" s="160"/>
    </row>
    <row r="45" spans="1:16" x14ac:dyDescent="0.25">
      <c r="A45" s="158"/>
      <c r="B45" s="303"/>
      <c r="C45" s="304"/>
      <c r="D45" s="304"/>
      <c r="E45" s="304"/>
      <c r="F45" s="304"/>
      <c r="G45" s="304"/>
      <c r="H45" s="304"/>
      <c r="I45" s="304"/>
      <c r="J45" s="304"/>
      <c r="K45" s="304"/>
      <c r="L45" s="304"/>
      <c r="M45" s="305"/>
      <c r="N45" s="159"/>
      <c r="O45" s="159"/>
      <c r="P45" s="160"/>
    </row>
    <row r="46" spans="1:16" x14ac:dyDescent="0.25">
      <c r="A46" s="158"/>
      <c r="B46" s="303"/>
      <c r="C46" s="304"/>
      <c r="D46" s="304"/>
      <c r="E46" s="304"/>
      <c r="F46" s="304"/>
      <c r="G46" s="304"/>
      <c r="H46" s="304"/>
      <c r="I46" s="304"/>
      <c r="J46" s="304"/>
      <c r="K46" s="304"/>
      <c r="L46" s="304"/>
      <c r="M46" s="305"/>
      <c r="N46" s="159"/>
      <c r="O46" s="159"/>
      <c r="P46" s="160"/>
    </row>
    <row r="47" spans="1:16" x14ac:dyDescent="0.25">
      <c r="A47" s="158"/>
      <c r="B47" s="303"/>
      <c r="C47" s="304"/>
      <c r="D47" s="304"/>
      <c r="E47" s="304"/>
      <c r="F47" s="304"/>
      <c r="G47" s="304"/>
      <c r="H47" s="304"/>
      <c r="I47" s="304"/>
      <c r="J47" s="304"/>
      <c r="K47" s="304"/>
      <c r="L47" s="304"/>
      <c r="M47" s="305"/>
      <c r="N47" s="159"/>
      <c r="O47" s="159"/>
      <c r="P47" s="160"/>
    </row>
    <row r="48" spans="1:16" x14ac:dyDescent="0.25">
      <c r="A48" s="158"/>
      <c r="B48" s="303"/>
      <c r="C48" s="304"/>
      <c r="D48" s="304"/>
      <c r="E48" s="304"/>
      <c r="F48" s="304"/>
      <c r="G48" s="304"/>
      <c r="H48" s="304"/>
      <c r="I48" s="304"/>
      <c r="J48" s="304"/>
      <c r="K48" s="304"/>
      <c r="L48" s="304"/>
      <c r="M48" s="305"/>
      <c r="N48" s="159"/>
      <c r="O48" s="159"/>
      <c r="P48" s="160"/>
    </row>
    <row r="49" spans="1:16" x14ac:dyDescent="0.25">
      <c r="A49" s="158"/>
      <c r="B49" s="303"/>
      <c r="C49" s="304"/>
      <c r="D49" s="304"/>
      <c r="E49" s="304"/>
      <c r="F49" s="304"/>
      <c r="G49" s="304"/>
      <c r="H49" s="304"/>
      <c r="I49" s="304"/>
      <c r="J49" s="304"/>
      <c r="K49" s="304"/>
      <c r="L49" s="304"/>
      <c r="M49" s="305"/>
      <c r="N49" s="159"/>
      <c r="O49" s="159"/>
      <c r="P49" s="160"/>
    </row>
    <row r="50" spans="1:16" x14ac:dyDescent="0.25">
      <c r="A50" s="158"/>
      <c r="B50" s="303"/>
      <c r="C50" s="304"/>
      <c r="D50" s="304"/>
      <c r="E50" s="304"/>
      <c r="F50" s="304"/>
      <c r="G50" s="304"/>
      <c r="H50" s="304"/>
      <c r="I50" s="304"/>
      <c r="J50" s="304"/>
      <c r="K50" s="304"/>
      <c r="L50" s="304"/>
      <c r="M50" s="305"/>
      <c r="N50" s="159"/>
      <c r="O50" s="159"/>
      <c r="P50" s="160"/>
    </row>
    <row r="51" spans="1:16" x14ac:dyDescent="0.25">
      <c r="A51" s="158"/>
      <c r="B51" s="303"/>
      <c r="C51" s="304"/>
      <c r="D51" s="304"/>
      <c r="E51" s="304"/>
      <c r="F51" s="304"/>
      <c r="G51" s="304"/>
      <c r="H51" s="304"/>
      <c r="I51" s="304"/>
      <c r="J51" s="304"/>
      <c r="K51" s="304"/>
      <c r="L51" s="304"/>
      <c r="M51" s="305"/>
      <c r="N51" s="159"/>
      <c r="O51" s="159"/>
      <c r="P51" s="160"/>
    </row>
    <row r="52" spans="1:16" x14ac:dyDescent="0.25">
      <c r="A52" s="158"/>
      <c r="B52" s="303"/>
      <c r="C52" s="304"/>
      <c r="D52" s="304"/>
      <c r="E52" s="304"/>
      <c r="F52" s="304"/>
      <c r="G52" s="304"/>
      <c r="H52" s="304"/>
      <c r="I52" s="304"/>
      <c r="J52" s="304"/>
      <c r="K52" s="304"/>
      <c r="L52" s="304"/>
      <c r="M52" s="305"/>
      <c r="N52" s="159"/>
      <c r="O52" s="159"/>
      <c r="P52" s="160"/>
    </row>
    <row r="53" spans="1:16" x14ac:dyDescent="0.25">
      <c r="A53" s="158"/>
      <c r="B53" s="303"/>
      <c r="C53" s="304"/>
      <c r="D53" s="304"/>
      <c r="E53" s="304"/>
      <c r="F53" s="304"/>
      <c r="G53" s="304"/>
      <c r="H53" s="304"/>
      <c r="I53" s="304"/>
      <c r="J53" s="304"/>
      <c r="K53" s="304"/>
      <c r="L53" s="304"/>
      <c r="M53" s="305"/>
      <c r="N53" s="159"/>
      <c r="O53" s="159"/>
      <c r="P53" s="160"/>
    </row>
    <row r="54" spans="1:16" x14ac:dyDescent="0.25">
      <c r="A54" s="158"/>
      <c r="B54" s="303"/>
      <c r="C54" s="304"/>
      <c r="D54" s="304"/>
      <c r="E54" s="304"/>
      <c r="F54" s="304"/>
      <c r="G54" s="304"/>
      <c r="H54" s="304"/>
      <c r="I54" s="304"/>
      <c r="J54" s="304"/>
      <c r="K54" s="304"/>
      <c r="L54" s="304"/>
      <c r="M54" s="305"/>
      <c r="N54" s="159"/>
      <c r="O54" s="159"/>
      <c r="P54" s="160"/>
    </row>
    <row r="55" spans="1:16" x14ac:dyDescent="0.25">
      <c r="A55" s="158"/>
      <c r="B55" s="303"/>
      <c r="C55" s="304"/>
      <c r="D55" s="304"/>
      <c r="E55" s="304"/>
      <c r="F55" s="304"/>
      <c r="G55" s="304"/>
      <c r="H55" s="304"/>
      <c r="I55" s="304"/>
      <c r="J55" s="304"/>
      <c r="K55" s="304"/>
      <c r="L55" s="304"/>
      <c r="M55" s="305"/>
      <c r="N55" s="159"/>
      <c r="O55" s="159"/>
      <c r="P55" s="160"/>
    </row>
    <row r="56" spans="1:16" x14ac:dyDescent="0.25">
      <c r="A56" s="158"/>
      <c r="B56" s="303"/>
      <c r="C56" s="304"/>
      <c r="D56" s="304"/>
      <c r="E56" s="304"/>
      <c r="F56" s="304"/>
      <c r="G56" s="304"/>
      <c r="H56" s="304"/>
      <c r="I56" s="304"/>
      <c r="J56" s="304"/>
      <c r="K56" s="304"/>
      <c r="L56" s="304"/>
      <c r="M56" s="305"/>
      <c r="N56" s="159"/>
      <c r="O56" s="159"/>
      <c r="P56" s="160"/>
    </row>
    <row r="57" spans="1:16" x14ac:dyDescent="0.25">
      <c r="A57" s="158"/>
      <c r="B57" s="303"/>
      <c r="C57" s="304"/>
      <c r="D57" s="304"/>
      <c r="E57" s="304"/>
      <c r="F57" s="304"/>
      <c r="G57" s="304"/>
      <c r="H57" s="304"/>
      <c r="I57" s="304"/>
      <c r="J57" s="304"/>
      <c r="K57" s="304"/>
      <c r="L57" s="304"/>
      <c r="M57" s="305"/>
      <c r="N57" s="159"/>
      <c r="O57" s="159"/>
      <c r="P57" s="160"/>
    </row>
    <row r="58" spans="1:16" x14ac:dyDescent="0.25">
      <c r="A58" s="158"/>
      <c r="B58" s="303"/>
      <c r="C58" s="304"/>
      <c r="D58" s="304"/>
      <c r="E58" s="304"/>
      <c r="F58" s="304"/>
      <c r="G58" s="304"/>
      <c r="H58" s="304"/>
      <c r="I58" s="304"/>
      <c r="J58" s="304"/>
      <c r="K58" s="304"/>
      <c r="L58" s="304"/>
      <c r="M58" s="305"/>
      <c r="N58" s="159"/>
      <c r="O58" s="159"/>
      <c r="P58" s="160"/>
    </row>
    <row r="59" spans="1:16" x14ac:dyDescent="0.25">
      <c r="A59" s="158"/>
      <c r="B59" s="303"/>
      <c r="C59" s="304"/>
      <c r="D59" s="304"/>
      <c r="E59" s="304"/>
      <c r="F59" s="304"/>
      <c r="G59" s="304"/>
      <c r="H59" s="304"/>
      <c r="I59" s="304"/>
      <c r="J59" s="304"/>
      <c r="K59" s="304"/>
      <c r="L59" s="304"/>
      <c r="M59" s="305"/>
      <c r="N59" s="159"/>
      <c r="O59" s="159"/>
      <c r="P59" s="160"/>
    </row>
    <row r="60" spans="1:16" x14ac:dyDescent="0.25">
      <c r="A60" s="158"/>
      <c r="B60" s="303"/>
      <c r="C60" s="304"/>
      <c r="D60" s="304"/>
      <c r="E60" s="304"/>
      <c r="F60" s="304"/>
      <c r="G60" s="304"/>
      <c r="H60" s="304"/>
      <c r="I60" s="304"/>
      <c r="J60" s="304"/>
      <c r="K60" s="304"/>
      <c r="L60" s="304"/>
      <c r="M60" s="305"/>
      <c r="N60" s="159"/>
      <c r="O60" s="159"/>
      <c r="P60" s="160"/>
    </row>
    <row r="61" spans="1:16" x14ac:dyDescent="0.25">
      <c r="A61" s="158"/>
      <c r="B61" s="303"/>
      <c r="C61" s="304"/>
      <c r="D61" s="304"/>
      <c r="E61" s="304"/>
      <c r="F61" s="304"/>
      <c r="G61" s="304"/>
      <c r="H61" s="304"/>
      <c r="I61" s="304"/>
      <c r="J61" s="304"/>
      <c r="K61" s="304"/>
      <c r="L61" s="304"/>
      <c r="M61" s="305"/>
      <c r="N61" s="159"/>
      <c r="O61" s="159"/>
      <c r="P61" s="160"/>
    </row>
    <row r="62" spans="1:16" x14ac:dyDescent="0.25">
      <c r="A62" s="158"/>
      <c r="B62" s="303"/>
      <c r="C62" s="304"/>
      <c r="D62" s="304"/>
      <c r="E62" s="304"/>
      <c r="F62" s="304"/>
      <c r="G62" s="304"/>
      <c r="H62" s="304"/>
      <c r="I62" s="304"/>
      <c r="J62" s="304"/>
      <c r="K62" s="304"/>
      <c r="L62" s="304"/>
      <c r="M62" s="305"/>
      <c r="N62" s="159"/>
      <c r="O62" s="159"/>
      <c r="P62" s="160"/>
    </row>
    <row r="63" spans="1:16" x14ac:dyDescent="0.25">
      <c r="A63" s="158"/>
      <c r="B63" s="303"/>
      <c r="C63" s="304"/>
      <c r="D63" s="304"/>
      <c r="E63" s="304"/>
      <c r="F63" s="304"/>
      <c r="G63" s="304"/>
      <c r="H63" s="304"/>
      <c r="I63" s="304"/>
      <c r="J63" s="304"/>
      <c r="K63" s="304"/>
      <c r="L63" s="304"/>
      <c r="M63" s="305"/>
      <c r="N63" s="159"/>
      <c r="O63" s="159"/>
      <c r="P63" s="160"/>
    </row>
    <row r="64" spans="1:16" x14ac:dyDescent="0.25">
      <c r="A64" s="158"/>
      <c r="B64" s="303"/>
      <c r="C64" s="304"/>
      <c r="D64" s="304"/>
      <c r="E64" s="304"/>
      <c r="F64" s="304"/>
      <c r="G64" s="304"/>
      <c r="H64" s="304"/>
      <c r="I64" s="304"/>
      <c r="J64" s="304"/>
      <c r="K64" s="304"/>
      <c r="L64" s="304"/>
      <c r="M64" s="305"/>
      <c r="N64" s="159"/>
      <c r="O64" s="159"/>
      <c r="P64" s="160"/>
    </row>
    <row r="65" spans="1:16" x14ac:dyDescent="0.25">
      <c r="A65" s="158"/>
      <c r="B65" s="303"/>
      <c r="C65" s="304"/>
      <c r="D65" s="304"/>
      <c r="E65" s="304"/>
      <c r="F65" s="304"/>
      <c r="G65" s="304"/>
      <c r="H65" s="304"/>
      <c r="I65" s="304"/>
      <c r="J65" s="304"/>
      <c r="K65" s="304"/>
      <c r="L65" s="304"/>
      <c r="M65" s="305"/>
      <c r="N65" s="159"/>
      <c r="O65" s="159"/>
      <c r="P65" s="160"/>
    </row>
    <row r="66" spans="1:16" x14ac:dyDescent="0.25">
      <c r="A66" s="158"/>
      <c r="B66" s="303"/>
      <c r="C66" s="304"/>
      <c r="D66" s="304"/>
      <c r="E66" s="304"/>
      <c r="F66" s="304"/>
      <c r="G66" s="304"/>
      <c r="H66" s="304"/>
      <c r="I66" s="304"/>
      <c r="J66" s="304"/>
      <c r="K66" s="304"/>
      <c r="L66" s="304"/>
      <c r="M66" s="305"/>
      <c r="N66" s="159"/>
      <c r="O66" s="159"/>
      <c r="P66" s="160"/>
    </row>
    <row r="67" spans="1:16" x14ac:dyDescent="0.25">
      <c r="A67" s="158"/>
      <c r="B67" s="303"/>
      <c r="C67" s="304"/>
      <c r="D67" s="304"/>
      <c r="E67" s="304"/>
      <c r="F67" s="304"/>
      <c r="G67" s="304"/>
      <c r="H67" s="304"/>
      <c r="I67" s="304"/>
      <c r="J67" s="304"/>
      <c r="K67" s="304"/>
      <c r="L67" s="304"/>
      <c r="M67" s="305"/>
      <c r="N67" s="159"/>
      <c r="O67" s="159"/>
      <c r="P67" s="160"/>
    </row>
    <row r="68" spans="1:16" x14ac:dyDescent="0.25">
      <c r="A68" s="158"/>
      <c r="B68" s="303"/>
      <c r="C68" s="304"/>
      <c r="D68" s="304"/>
      <c r="E68" s="304"/>
      <c r="F68" s="304"/>
      <c r="G68" s="304"/>
      <c r="H68" s="304"/>
      <c r="I68" s="304"/>
      <c r="J68" s="304"/>
      <c r="K68" s="304"/>
      <c r="L68" s="304"/>
      <c r="M68" s="305"/>
      <c r="N68" s="159"/>
      <c r="O68" s="159"/>
      <c r="P68" s="160"/>
    </row>
    <row r="69" spans="1:16" x14ac:dyDescent="0.25">
      <c r="A69" s="158"/>
      <c r="B69" s="303"/>
      <c r="C69" s="304"/>
      <c r="D69" s="304"/>
      <c r="E69" s="304"/>
      <c r="F69" s="304"/>
      <c r="G69" s="304"/>
      <c r="H69" s="304"/>
      <c r="I69" s="304"/>
      <c r="J69" s="304"/>
      <c r="K69" s="304"/>
      <c r="L69" s="304"/>
      <c r="M69" s="305"/>
      <c r="N69" s="159"/>
      <c r="O69" s="159"/>
      <c r="P69" s="160"/>
    </row>
    <row r="70" spans="1:16" x14ac:dyDescent="0.25">
      <c r="A70" s="158"/>
      <c r="B70" s="303"/>
      <c r="C70" s="304"/>
      <c r="D70" s="304"/>
      <c r="E70" s="304"/>
      <c r="F70" s="304"/>
      <c r="G70" s="304"/>
      <c r="H70" s="304"/>
      <c r="I70" s="304"/>
      <c r="J70" s="304"/>
      <c r="K70" s="304"/>
      <c r="L70" s="304"/>
      <c r="M70" s="305"/>
      <c r="N70" s="159"/>
      <c r="O70" s="159"/>
      <c r="P70" s="160"/>
    </row>
    <row r="71" spans="1:16" x14ac:dyDescent="0.25">
      <c r="A71" s="158"/>
      <c r="B71" s="303"/>
      <c r="C71" s="304"/>
      <c r="D71" s="304"/>
      <c r="E71" s="304"/>
      <c r="F71" s="304"/>
      <c r="G71" s="304"/>
      <c r="H71" s="304"/>
      <c r="I71" s="304"/>
      <c r="J71" s="304"/>
      <c r="K71" s="304"/>
      <c r="L71" s="304"/>
      <c r="M71" s="305"/>
      <c r="N71" s="159"/>
      <c r="O71" s="159"/>
      <c r="P71" s="160"/>
    </row>
    <row r="72" spans="1:16" x14ac:dyDescent="0.25">
      <c r="A72" s="158"/>
      <c r="B72" s="303"/>
      <c r="C72" s="304"/>
      <c r="D72" s="304"/>
      <c r="E72" s="304"/>
      <c r="F72" s="304"/>
      <c r="G72" s="304"/>
      <c r="H72" s="304"/>
      <c r="I72" s="304"/>
      <c r="J72" s="304"/>
      <c r="K72" s="304"/>
      <c r="L72" s="304"/>
      <c r="M72" s="305"/>
      <c r="N72" s="159"/>
      <c r="O72" s="159"/>
      <c r="P72" s="160"/>
    </row>
    <row r="73" spans="1:16" x14ac:dyDescent="0.25">
      <c r="A73" s="158"/>
      <c r="B73" s="303"/>
      <c r="C73" s="304"/>
      <c r="D73" s="304"/>
      <c r="E73" s="304"/>
      <c r="F73" s="304"/>
      <c r="G73" s="304"/>
      <c r="H73" s="304"/>
      <c r="I73" s="304"/>
      <c r="J73" s="304"/>
      <c r="K73" s="304"/>
      <c r="L73" s="304"/>
      <c r="M73" s="305"/>
      <c r="N73" s="159"/>
      <c r="O73" s="159"/>
      <c r="P73" s="160"/>
    </row>
    <row r="74" spans="1:16" x14ac:dyDescent="0.25">
      <c r="A74" s="158"/>
      <c r="B74" s="303"/>
      <c r="C74" s="304"/>
      <c r="D74" s="304"/>
      <c r="E74" s="304"/>
      <c r="F74" s="304"/>
      <c r="G74" s="304"/>
      <c r="H74" s="304"/>
      <c r="I74" s="304"/>
      <c r="J74" s="304"/>
      <c r="K74" s="304"/>
      <c r="L74" s="304"/>
      <c r="M74" s="305"/>
      <c r="N74" s="159"/>
      <c r="O74" s="159"/>
      <c r="P74" s="160"/>
    </row>
    <row r="75" spans="1:16" x14ac:dyDescent="0.25">
      <c r="A75" s="158"/>
      <c r="B75" s="303"/>
      <c r="C75" s="304"/>
      <c r="D75" s="304"/>
      <c r="E75" s="304"/>
      <c r="F75" s="304"/>
      <c r="G75" s="304"/>
      <c r="H75" s="304"/>
      <c r="I75" s="304"/>
      <c r="J75" s="304"/>
      <c r="K75" s="304"/>
      <c r="L75" s="304"/>
      <c r="M75" s="305"/>
      <c r="N75" s="159"/>
      <c r="O75" s="159"/>
      <c r="P75" s="160"/>
    </row>
    <row r="76" spans="1:16" x14ac:dyDescent="0.25">
      <c r="A76" s="158"/>
      <c r="B76" s="303"/>
      <c r="C76" s="304"/>
      <c r="D76" s="304"/>
      <c r="E76" s="304"/>
      <c r="F76" s="304"/>
      <c r="G76" s="304"/>
      <c r="H76" s="304"/>
      <c r="I76" s="304"/>
      <c r="J76" s="304"/>
      <c r="K76" s="304"/>
      <c r="L76" s="304"/>
      <c r="M76" s="305"/>
      <c r="N76" s="159"/>
      <c r="O76" s="159"/>
      <c r="P76" s="160"/>
    </row>
    <row r="77" spans="1:16" x14ac:dyDescent="0.25">
      <c r="A77" s="158"/>
      <c r="B77" s="303"/>
      <c r="C77" s="304"/>
      <c r="D77" s="304"/>
      <c r="E77" s="304"/>
      <c r="F77" s="304"/>
      <c r="G77" s="304"/>
      <c r="H77" s="304"/>
      <c r="I77" s="304"/>
      <c r="J77" s="304"/>
      <c r="K77" s="304"/>
      <c r="L77" s="304"/>
      <c r="M77" s="305"/>
      <c r="N77" s="159"/>
      <c r="O77" s="159"/>
      <c r="P77" s="160"/>
    </row>
    <row r="78" spans="1:16" x14ac:dyDescent="0.25">
      <c r="A78" s="158"/>
      <c r="B78" s="303"/>
      <c r="C78" s="304"/>
      <c r="D78" s="304"/>
      <c r="E78" s="304"/>
      <c r="F78" s="304"/>
      <c r="G78" s="304"/>
      <c r="H78" s="304"/>
      <c r="I78" s="304"/>
      <c r="J78" s="304"/>
      <c r="K78" s="304"/>
      <c r="L78" s="304"/>
      <c r="M78" s="305"/>
      <c r="N78" s="159"/>
      <c r="O78" s="159"/>
      <c r="P78" s="160"/>
    </row>
    <row r="79" spans="1:16" x14ac:dyDescent="0.25">
      <c r="A79" s="158"/>
      <c r="B79" s="303"/>
      <c r="C79" s="304"/>
      <c r="D79" s="304"/>
      <c r="E79" s="304"/>
      <c r="F79" s="304"/>
      <c r="G79" s="304"/>
      <c r="H79" s="304"/>
      <c r="I79" s="304"/>
      <c r="J79" s="304"/>
      <c r="K79" s="304"/>
      <c r="L79" s="304"/>
      <c r="M79" s="305"/>
      <c r="N79" s="159"/>
      <c r="O79" s="159"/>
      <c r="P79" s="160"/>
    </row>
    <row r="80" spans="1:16" x14ac:dyDescent="0.25">
      <c r="A80" s="158"/>
      <c r="B80" s="303"/>
      <c r="C80" s="304"/>
      <c r="D80" s="304"/>
      <c r="E80" s="304"/>
      <c r="F80" s="304"/>
      <c r="G80" s="304"/>
      <c r="H80" s="304"/>
      <c r="I80" s="304"/>
      <c r="J80" s="304"/>
      <c r="K80" s="304"/>
      <c r="L80" s="304"/>
      <c r="M80" s="305"/>
      <c r="N80" s="159"/>
      <c r="O80" s="159"/>
      <c r="P80" s="160"/>
    </row>
    <row r="81" spans="1:16" x14ac:dyDescent="0.25">
      <c r="A81" s="158"/>
      <c r="B81" s="303"/>
      <c r="C81" s="304"/>
      <c r="D81" s="304"/>
      <c r="E81" s="304"/>
      <c r="F81" s="304"/>
      <c r="G81" s="304"/>
      <c r="H81" s="304"/>
      <c r="I81" s="304"/>
      <c r="J81" s="304"/>
      <c r="K81" s="304"/>
      <c r="L81" s="304"/>
      <c r="M81" s="305"/>
      <c r="N81" s="159"/>
      <c r="O81" s="159"/>
      <c r="P81" s="160"/>
    </row>
    <row r="82" spans="1:16" x14ac:dyDescent="0.25">
      <c r="A82" s="158"/>
      <c r="B82" s="303"/>
      <c r="C82" s="304"/>
      <c r="D82" s="304"/>
      <c r="E82" s="304"/>
      <c r="F82" s="304"/>
      <c r="G82" s="304"/>
      <c r="H82" s="304"/>
      <c r="I82" s="304"/>
      <c r="J82" s="304"/>
      <c r="K82" s="304"/>
      <c r="L82" s="304"/>
      <c r="M82" s="305"/>
      <c r="N82" s="159"/>
      <c r="O82" s="159"/>
      <c r="P82" s="160"/>
    </row>
    <row r="83" spans="1:16" x14ac:dyDescent="0.25">
      <c r="A83" s="158"/>
      <c r="B83" s="303"/>
      <c r="C83" s="304"/>
      <c r="D83" s="304"/>
      <c r="E83" s="304"/>
      <c r="F83" s="304"/>
      <c r="G83" s="304"/>
      <c r="H83" s="304"/>
      <c r="I83" s="304"/>
      <c r="J83" s="304"/>
      <c r="K83" s="304"/>
      <c r="L83" s="304"/>
      <c r="M83" s="305"/>
      <c r="N83" s="159"/>
      <c r="O83" s="159"/>
      <c r="P83" s="160"/>
    </row>
    <row r="84" spans="1:16" x14ac:dyDescent="0.25">
      <c r="A84" s="158"/>
      <c r="B84" s="303"/>
      <c r="C84" s="304"/>
      <c r="D84" s="304"/>
      <c r="E84" s="304"/>
      <c r="F84" s="304"/>
      <c r="G84" s="304"/>
      <c r="H84" s="304"/>
      <c r="I84" s="304"/>
      <c r="J84" s="304"/>
      <c r="K84" s="304"/>
      <c r="L84" s="304"/>
      <c r="M84" s="305"/>
      <c r="N84" s="159"/>
      <c r="O84" s="159"/>
      <c r="P84" s="160"/>
    </row>
    <row r="85" spans="1:16" x14ac:dyDescent="0.25">
      <c r="A85" s="158"/>
      <c r="B85" s="303"/>
      <c r="C85" s="304"/>
      <c r="D85" s="304"/>
      <c r="E85" s="304"/>
      <c r="F85" s="304"/>
      <c r="G85" s="304"/>
      <c r="H85" s="304"/>
      <c r="I85" s="304"/>
      <c r="J85" s="304"/>
      <c r="K85" s="304"/>
      <c r="L85" s="304"/>
      <c r="M85" s="305"/>
      <c r="N85" s="159"/>
      <c r="O85" s="159"/>
      <c r="P85" s="160"/>
    </row>
    <row r="86" spans="1:16" x14ac:dyDescent="0.25">
      <c r="A86" s="158"/>
      <c r="B86" s="303"/>
      <c r="C86" s="304"/>
      <c r="D86" s="304"/>
      <c r="E86" s="304"/>
      <c r="F86" s="304"/>
      <c r="G86" s="304"/>
      <c r="H86" s="304"/>
      <c r="I86" s="304"/>
      <c r="J86" s="304"/>
      <c r="K86" s="304"/>
      <c r="L86" s="304"/>
      <c r="M86" s="305"/>
      <c r="N86" s="159"/>
      <c r="O86" s="159"/>
      <c r="P86" s="160"/>
    </row>
    <row r="87" spans="1:16" x14ac:dyDescent="0.25">
      <c r="A87" s="158"/>
      <c r="B87" s="303"/>
      <c r="C87" s="304"/>
      <c r="D87" s="304"/>
      <c r="E87" s="304"/>
      <c r="F87" s="304"/>
      <c r="G87" s="304"/>
      <c r="H87" s="304"/>
      <c r="I87" s="304"/>
      <c r="J87" s="304"/>
      <c r="K87" s="304"/>
      <c r="L87" s="304"/>
      <c r="M87" s="305"/>
      <c r="N87" s="159"/>
      <c r="O87" s="159"/>
      <c r="P87" s="160"/>
    </row>
    <row r="88" spans="1:16" x14ac:dyDescent="0.25">
      <c r="A88" s="158"/>
      <c r="B88" s="303"/>
      <c r="C88" s="304"/>
      <c r="D88" s="304"/>
      <c r="E88" s="304"/>
      <c r="F88" s="304"/>
      <c r="G88" s="304"/>
      <c r="H88" s="304"/>
      <c r="I88" s="304"/>
      <c r="J88" s="304"/>
      <c r="K88" s="304"/>
      <c r="L88" s="304"/>
      <c r="M88" s="305"/>
      <c r="N88" s="159"/>
      <c r="O88" s="159"/>
      <c r="P88" s="160"/>
    </row>
    <row r="89" spans="1:16" x14ac:dyDescent="0.25">
      <c r="A89" s="158"/>
      <c r="B89" s="303"/>
      <c r="C89" s="304"/>
      <c r="D89" s="304"/>
      <c r="E89" s="304"/>
      <c r="F89" s="304"/>
      <c r="G89" s="304"/>
      <c r="H89" s="304"/>
      <c r="I89" s="304"/>
      <c r="J89" s="304"/>
      <c r="K89" s="304"/>
      <c r="L89" s="304"/>
      <c r="M89" s="305"/>
      <c r="N89" s="159"/>
      <c r="O89" s="159"/>
      <c r="P89" s="160"/>
    </row>
    <row r="90" spans="1:16" x14ac:dyDescent="0.25">
      <c r="A90" s="158"/>
      <c r="B90" s="303"/>
      <c r="C90" s="304"/>
      <c r="D90" s="304"/>
      <c r="E90" s="304"/>
      <c r="F90" s="304"/>
      <c r="G90" s="304"/>
      <c r="H90" s="304"/>
      <c r="I90" s="304"/>
      <c r="J90" s="304"/>
      <c r="K90" s="304"/>
      <c r="L90" s="304"/>
      <c r="M90" s="305"/>
      <c r="N90" s="159"/>
      <c r="O90" s="159"/>
      <c r="P90" s="160"/>
    </row>
    <row r="91" spans="1:16" x14ac:dyDescent="0.25">
      <c r="A91" s="158"/>
      <c r="B91" s="303"/>
      <c r="C91" s="304"/>
      <c r="D91" s="304"/>
      <c r="E91" s="304"/>
      <c r="F91" s="304"/>
      <c r="G91" s="304"/>
      <c r="H91" s="304"/>
      <c r="I91" s="304"/>
      <c r="J91" s="304"/>
      <c r="K91" s="304"/>
      <c r="L91" s="304"/>
      <c r="M91" s="305"/>
      <c r="N91" s="159"/>
      <c r="O91" s="159"/>
      <c r="P91" s="160"/>
    </row>
    <row r="92" spans="1:16" x14ac:dyDescent="0.25">
      <c r="A92" s="158"/>
      <c r="B92" s="303"/>
      <c r="C92" s="304"/>
      <c r="D92" s="304"/>
      <c r="E92" s="304"/>
      <c r="F92" s="304"/>
      <c r="G92" s="304"/>
      <c r="H92" s="304"/>
      <c r="I92" s="304"/>
      <c r="J92" s="304"/>
      <c r="K92" s="304"/>
      <c r="L92" s="304"/>
      <c r="M92" s="305"/>
      <c r="N92" s="159"/>
      <c r="O92" s="159"/>
      <c r="P92" s="160"/>
    </row>
    <row r="93" spans="1:16" x14ac:dyDescent="0.25">
      <c r="A93" s="158"/>
      <c r="B93" s="303"/>
      <c r="C93" s="304"/>
      <c r="D93" s="304"/>
      <c r="E93" s="304"/>
      <c r="F93" s="304"/>
      <c r="G93" s="304"/>
      <c r="H93" s="304"/>
      <c r="I93" s="304"/>
      <c r="J93" s="304"/>
      <c r="K93" s="304"/>
      <c r="L93" s="304"/>
      <c r="M93" s="305"/>
      <c r="N93" s="159"/>
      <c r="O93" s="159"/>
      <c r="P93" s="160"/>
    </row>
    <row r="94" spans="1:16" x14ac:dyDescent="0.25">
      <c r="A94" s="158"/>
      <c r="B94" s="303"/>
      <c r="C94" s="304"/>
      <c r="D94" s="304"/>
      <c r="E94" s="304"/>
      <c r="F94" s="304"/>
      <c r="G94" s="304"/>
      <c r="H94" s="304"/>
      <c r="I94" s="304"/>
      <c r="J94" s="304"/>
      <c r="K94" s="304"/>
      <c r="L94" s="304"/>
      <c r="M94" s="305"/>
      <c r="N94" s="159"/>
      <c r="O94" s="159"/>
      <c r="P94" s="160"/>
    </row>
    <row r="95" spans="1:16" x14ac:dyDescent="0.25">
      <c r="A95" s="158"/>
      <c r="B95" s="303"/>
      <c r="C95" s="304"/>
      <c r="D95" s="304"/>
      <c r="E95" s="304"/>
      <c r="F95" s="304"/>
      <c r="G95" s="304"/>
      <c r="H95" s="304"/>
      <c r="I95" s="304"/>
      <c r="J95" s="304"/>
      <c r="K95" s="304"/>
      <c r="L95" s="304"/>
      <c r="M95" s="305"/>
      <c r="N95" s="159"/>
      <c r="O95" s="159"/>
      <c r="P95" s="160"/>
    </row>
    <row r="96" spans="1:16" ht="13.8" thickBot="1" x14ac:dyDescent="0.3">
      <c r="A96" s="170"/>
      <c r="B96" s="306"/>
      <c r="C96" s="307"/>
      <c r="D96" s="307"/>
      <c r="E96" s="307"/>
      <c r="F96" s="307"/>
      <c r="G96" s="307"/>
      <c r="H96" s="307"/>
      <c r="I96" s="307"/>
      <c r="J96" s="307"/>
      <c r="K96" s="307"/>
      <c r="L96" s="307"/>
      <c r="M96" s="308"/>
      <c r="N96" s="171"/>
      <c r="O96" s="171"/>
      <c r="P96" s="172"/>
    </row>
    <row r="97" spans="1:16" ht="13.8" thickTop="1" x14ac:dyDescent="0.25">
      <c r="A97" s="154"/>
      <c r="B97" s="154"/>
      <c r="C97" s="154"/>
      <c r="D97" s="154"/>
      <c r="E97" s="154"/>
      <c r="F97" s="154"/>
      <c r="G97" s="154"/>
      <c r="H97" s="154"/>
      <c r="I97" s="154"/>
      <c r="J97" s="154"/>
      <c r="K97" s="154"/>
      <c r="L97" s="154"/>
      <c r="M97" s="154"/>
      <c r="N97" s="154"/>
      <c r="O97" s="154"/>
      <c r="P97" s="154"/>
    </row>
  </sheetData>
  <mergeCells count="3">
    <mergeCell ref="B15:I15"/>
    <mergeCell ref="B34:M96"/>
    <mergeCell ref="B14:D14"/>
  </mergeCells>
  <hyperlinks>
    <hyperlink ref="B15:I15" r:id="rId1" display="LM749x0 Datasheet (See &quot;Design-In Procedure&quot;)"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S198"/>
  <sheetViews>
    <sheetView tabSelected="1" zoomScale="115" zoomScaleNormal="115" zoomScaleSheetLayoutView="100" workbookViewId="0">
      <selection activeCell="F14" sqref="F14"/>
    </sheetView>
  </sheetViews>
  <sheetFormatPr defaultRowHeight="13.2" x14ac:dyDescent="0.25"/>
  <cols>
    <col min="1" max="1" width="0.44140625" customWidth="1"/>
    <col min="2" max="2" width="30" customWidth="1"/>
    <col min="3" max="3" width="15.33203125" customWidth="1"/>
    <col min="4" max="4" width="16.5546875" customWidth="1"/>
    <col min="5" max="5" width="20.6640625" customWidth="1"/>
    <col min="6" max="6" width="15.6640625" customWidth="1"/>
    <col min="7" max="7" width="5.5546875" style="114" customWidth="1"/>
    <col min="8" max="8" width="9.5546875" customWidth="1"/>
    <col min="9" max="9" width="12.6640625" customWidth="1"/>
    <col min="11" max="11" width="10.33203125" customWidth="1"/>
    <col min="12" max="12" width="8.6640625" customWidth="1"/>
    <col min="13" max="13" width="9.6640625" customWidth="1"/>
    <col min="14" max="19" width="0" hidden="1" customWidth="1"/>
    <col min="20" max="20" width="2.6640625" hidden="1" customWidth="1"/>
    <col min="21" max="21" width="3" hidden="1" customWidth="1"/>
    <col min="22" max="22" width="1.33203125" hidden="1" customWidth="1"/>
    <col min="23" max="23" width="3.6640625" hidden="1" customWidth="1"/>
    <col min="24" max="38" width="0" hidden="1" customWidth="1"/>
    <col min="39" max="39" width="11.6640625" customWidth="1"/>
    <col min="40" max="40" width="6.6640625" customWidth="1"/>
    <col min="41" max="41" width="9.33203125" customWidth="1"/>
    <col min="42" max="42" width="12.33203125" customWidth="1"/>
    <col min="43" max="43" width="12" hidden="1" customWidth="1"/>
    <col min="44" max="44" width="13.44140625" customWidth="1"/>
    <col min="45" max="45" width="14.5546875" customWidth="1"/>
    <col min="46" max="46" width="14.6640625" customWidth="1"/>
    <col min="47" max="47" width="11.33203125" customWidth="1"/>
    <col min="48" max="48" width="13" customWidth="1"/>
    <col min="49" max="49" width="13.44140625" customWidth="1"/>
    <col min="50" max="50" width="14.6640625" customWidth="1"/>
    <col min="51" max="51" width="14.33203125" customWidth="1"/>
    <col min="52" max="52" width="12.6640625" customWidth="1"/>
    <col min="53" max="53" width="12.5546875" customWidth="1"/>
    <col min="54" max="54" width="9.6640625" customWidth="1"/>
    <col min="55" max="55" width="12.6640625" customWidth="1"/>
    <col min="56" max="57" width="13.6640625" customWidth="1"/>
    <col min="58" max="59" width="14.44140625" customWidth="1"/>
    <col min="60" max="60" width="15.44140625" customWidth="1"/>
    <col min="61" max="61" width="15.33203125" customWidth="1"/>
    <col min="62" max="62" width="15.6640625" customWidth="1"/>
    <col min="63" max="63" width="12.5546875" customWidth="1"/>
    <col min="64" max="64" width="16.6640625" customWidth="1"/>
    <col min="65" max="65" width="15.44140625" customWidth="1"/>
    <col min="66" max="66" width="14.5546875" customWidth="1"/>
    <col min="67" max="67" width="10" customWidth="1"/>
    <col min="68" max="68" width="6.33203125" customWidth="1"/>
    <col min="69" max="69" width="7.33203125" customWidth="1"/>
    <col min="70" max="70" width="8.33203125" customWidth="1"/>
    <col min="71" max="71" width="4.6640625" customWidth="1"/>
  </cols>
  <sheetData>
    <row r="1" spans="1:39" s="78" customFormat="1" ht="60.75" customHeight="1" x14ac:dyDescent="0.3">
      <c r="A1" s="312" t="s">
        <v>477</v>
      </c>
      <c r="B1" s="313"/>
      <c r="C1" s="313"/>
      <c r="D1" s="313"/>
      <c r="E1" s="313"/>
      <c r="F1" s="313"/>
      <c r="G1" s="313"/>
      <c r="H1" s="313"/>
      <c r="I1" s="313"/>
      <c r="J1" s="313"/>
      <c r="K1" s="313"/>
      <c r="L1" s="313"/>
      <c r="M1" s="313"/>
      <c r="N1" s="33"/>
      <c r="O1" s="33"/>
      <c r="P1" s="33"/>
      <c r="Q1" s="33"/>
      <c r="R1" s="31"/>
      <c r="S1" s="32"/>
      <c r="T1" s="30"/>
      <c r="U1" s="30"/>
      <c r="V1" s="30"/>
      <c r="W1" s="30"/>
      <c r="X1" s="30"/>
      <c r="Y1" s="30"/>
      <c r="Z1" s="30"/>
      <c r="AA1" s="30"/>
      <c r="AB1" s="30"/>
      <c r="AC1" s="30"/>
      <c r="AD1" s="30"/>
      <c r="AE1" s="30"/>
      <c r="AF1" s="30"/>
      <c r="AG1" s="30"/>
      <c r="AH1" s="30"/>
      <c r="AI1" s="30"/>
      <c r="AJ1" s="30"/>
      <c r="AK1" s="30"/>
      <c r="AL1" s="30"/>
      <c r="AM1" s="30"/>
    </row>
    <row r="2" spans="1:39" ht="15.6" x14ac:dyDescent="0.25">
      <c r="A2" s="11"/>
      <c r="B2" s="29"/>
      <c r="C2" s="11"/>
      <c r="D2" s="11"/>
      <c r="E2" s="11"/>
      <c r="F2" s="12"/>
      <c r="G2" s="12"/>
      <c r="H2" s="11"/>
      <c r="I2" s="11"/>
      <c r="J2" s="11"/>
      <c r="K2" s="11"/>
      <c r="L2" s="320"/>
      <c r="M2" s="320"/>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spans="1:39" x14ac:dyDescent="0.25">
      <c r="A3" s="11"/>
      <c r="B3" s="11"/>
      <c r="C3" s="11"/>
      <c r="D3" s="11"/>
      <c r="E3" s="11"/>
      <c r="F3" s="11"/>
      <c r="G3" s="12"/>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row>
    <row r="4" spans="1:39" x14ac:dyDescent="0.25">
      <c r="A4" s="11"/>
      <c r="B4" s="11"/>
      <c r="C4" s="11"/>
      <c r="D4" s="11"/>
      <c r="E4" s="11"/>
      <c r="F4" s="11"/>
      <c r="G4" s="12"/>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39" x14ac:dyDescent="0.25">
      <c r="A5" s="11"/>
      <c r="B5" s="11"/>
      <c r="C5" s="11"/>
      <c r="D5" s="11"/>
      <c r="E5" s="11"/>
      <c r="F5" s="11"/>
      <c r="G5" s="12"/>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39" x14ac:dyDescent="0.25">
      <c r="A6" s="11"/>
      <c r="B6" s="11"/>
      <c r="C6" s="11"/>
      <c r="D6" s="11"/>
      <c r="E6" s="11"/>
      <c r="F6" s="11"/>
      <c r="G6" s="12"/>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39" x14ac:dyDescent="0.25">
      <c r="A7" s="11"/>
      <c r="B7" s="11"/>
      <c r="C7" s="11"/>
      <c r="D7" s="11"/>
      <c r="E7" s="11"/>
      <c r="F7" s="11"/>
      <c r="G7" s="12"/>
      <c r="H7" s="11"/>
      <c r="I7" s="11"/>
      <c r="J7" s="11"/>
      <c r="K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row>
    <row r="8" spans="1:39" x14ac:dyDescent="0.25">
      <c r="A8" s="11"/>
      <c r="B8" s="11"/>
      <c r="C8" s="11"/>
      <c r="D8" s="11"/>
      <c r="E8" s="11"/>
      <c r="F8" s="11"/>
      <c r="G8" s="12"/>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39" ht="15" customHeight="1" x14ac:dyDescent="0.25">
      <c r="A9" s="11"/>
      <c r="B9" s="16"/>
      <c r="C9" s="148"/>
      <c r="D9" s="142" t="s">
        <v>295</v>
      </c>
      <c r="E9" s="72"/>
      <c r="F9" s="11"/>
      <c r="G9" s="12"/>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39" ht="15" customHeight="1" x14ac:dyDescent="0.25">
      <c r="A10" s="11"/>
      <c r="B10" s="17"/>
      <c r="C10" s="13"/>
      <c r="D10" s="142" t="s">
        <v>453</v>
      </c>
      <c r="E10" s="73"/>
      <c r="F10" s="11"/>
      <c r="G10" s="12"/>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1:39" ht="22.95" customHeight="1" x14ac:dyDescent="0.25">
      <c r="A11" s="11"/>
      <c r="B11" s="17"/>
      <c r="C11" s="153"/>
      <c r="D11" s="314" t="s">
        <v>350</v>
      </c>
      <c r="E11" s="315"/>
      <c r="F11" s="11"/>
      <c r="G11" s="12"/>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row>
    <row r="12" spans="1:39" ht="21.6" customHeight="1" x14ac:dyDescent="0.25">
      <c r="A12" s="11"/>
      <c r="B12" s="17"/>
      <c r="C12" s="152"/>
      <c r="D12" s="314"/>
      <c r="E12" s="315"/>
      <c r="F12" s="11"/>
      <c r="G12" s="12"/>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row>
    <row r="13" spans="1:39" ht="15" customHeight="1" thickBot="1" x14ac:dyDescent="0.3">
      <c r="A13" s="11"/>
      <c r="B13" s="11"/>
      <c r="C13" s="11"/>
      <c r="D13" s="11"/>
      <c r="E13" s="11"/>
      <c r="F13" s="23"/>
      <c r="G13" s="12"/>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row>
    <row r="14" spans="1:39" ht="15" customHeight="1" x14ac:dyDescent="0.25">
      <c r="A14" s="11"/>
      <c r="B14" s="98" t="s">
        <v>114</v>
      </c>
      <c r="C14" s="53"/>
      <c r="D14" s="53"/>
      <c r="E14" s="54" t="s">
        <v>442</v>
      </c>
      <c r="F14" s="140">
        <v>3.2</v>
      </c>
      <c r="G14" s="121" t="s">
        <v>68</v>
      </c>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79"/>
    </row>
    <row r="15" spans="1:39" ht="15" customHeight="1" x14ac:dyDescent="0.25">
      <c r="A15" s="11"/>
      <c r="B15" s="55"/>
      <c r="C15" s="15"/>
      <c r="D15" s="15"/>
      <c r="E15" s="37" t="s">
        <v>443</v>
      </c>
      <c r="F15" s="141">
        <v>12</v>
      </c>
      <c r="G15" s="122" t="s">
        <v>68</v>
      </c>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64"/>
    </row>
    <row r="16" spans="1:39" ht="15" customHeight="1" x14ac:dyDescent="0.25">
      <c r="A16" s="11"/>
      <c r="B16" s="56"/>
      <c r="C16" s="15"/>
      <c r="D16" s="15"/>
      <c r="E16" s="37" t="s">
        <v>444</v>
      </c>
      <c r="F16" s="141">
        <v>16</v>
      </c>
      <c r="G16" s="122" t="s">
        <v>68</v>
      </c>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64"/>
    </row>
    <row r="17" spans="1:45" ht="15" customHeight="1" x14ac:dyDescent="0.25">
      <c r="A17" s="11"/>
      <c r="B17" s="56"/>
      <c r="C17" s="15"/>
      <c r="D17" s="15"/>
      <c r="E17" s="37" t="s">
        <v>87</v>
      </c>
      <c r="F17" s="141">
        <v>10</v>
      </c>
      <c r="G17" s="122" t="s">
        <v>27</v>
      </c>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64"/>
    </row>
    <row r="18" spans="1:45" ht="15" customHeight="1" x14ac:dyDescent="0.25">
      <c r="A18" s="11"/>
      <c r="B18" s="56"/>
      <c r="C18" s="15"/>
      <c r="D18" s="15"/>
      <c r="E18" s="37" t="s">
        <v>454</v>
      </c>
      <c r="F18" s="141">
        <v>100</v>
      </c>
      <c r="G18" s="123" t="s">
        <v>65</v>
      </c>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64"/>
    </row>
    <row r="19" spans="1:45" ht="15" customHeight="1" x14ac:dyDescent="0.25">
      <c r="A19" s="11"/>
      <c r="B19" s="56"/>
      <c r="C19" s="15"/>
      <c r="D19" s="15"/>
      <c r="E19" s="37" t="s">
        <v>86</v>
      </c>
      <c r="F19" s="223">
        <v>55</v>
      </c>
      <c r="G19" s="122" t="s">
        <v>90</v>
      </c>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64"/>
    </row>
    <row r="20" spans="1:45" ht="15" customHeight="1" x14ac:dyDescent="0.25">
      <c r="A20" s="11"/>
      <c r="B20" s="321" t="s">
        <v>470</v>
      </c>
      <c r="C20" s="15"/>
      <c r="D20" s="15"/>
      <c r="E20" s="37" t="s">
        <v>462</v>
      </c>
      <c r="F20" s="223">
        <v>2.7</v>
      </c>
      <c r="G20" s="122" t="s">
        <v>68</v>
      </c>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64"/>
    </row>
    <row r="21" spans="1:45" ht="15" customHeight="1" x14ac:dyDescent="0.25">
      <c r="A21" s="11"/>
      <c r="B21" s="321"/>
      <c r="C21" s="15"/>
      <c r="D21" s="15"/>
      <c r="E21" s="37" t="s">
        <v>472</v>
      </c>
      <c r="F21" s="223">
        <v>1</v>
      </c>
      <c r="G21" s="122" t="s">
        <v>8</v>
      </c>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64"/>
    </row>
    <row r="22" spans="1:45" ht="15" customHeight="1" x14ac:dyDescent="0.25">
      <c r="A22" s="11"/>
      <c r="B22" s="321"/>
      <c r="C22" s="15"/>
      <c r="D22" s="15"/>
      <c r="E22" s="37" t="s">
        <v>461</v>
      </c>
      <c r="F22" s="223">
        <v>1000</v>
      </c>
      <c r="G22" s="122" t="s">
        <v>384</v>
      </c>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64"/>
    </row>
    <row r="23" spans="1:45" ht="15" customHeight="1" x14ac:dyDescent="0.25">
      <c r="A23" s="11"/>
      <c r="B23" s="56"/>
      <c r="C23" s="15"/>
      <c r="D23" s="15"/>
      <c r="E23" s="37" t="s">
        <v>448</v>
      </c>
      <c r="F23" s="223">
        <v>15</v>
      </c>
      <c r="G23" s="122" t="s">
        <v>27</v>
      </c>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64"/>
    </row>
    <row r="24" spans="1:45" ht="15" customHeight="1" x14ac:dyDescent="0.25">
      <c r="A24" s="11"/>
      <c r="B24" s="56"/>
      <c r="C24" s="15"/>
      <c r="D24" s="15"/>
      <c r="E24" s="37" t="s">
        <v>463</v>
      </c>
      <c r="F24" s="223">
        <v>30</v>
      </c>
      <c r="G24" s="122" t="s">
        <v>27</v>
      </c>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64"/>
    </row>
    <row r="25" spans="1:45" ht="15" customHeight="1" x14ac:dyDescent="0.25">
      <c r="A25" s="11"/>
      <c r="B25" s="273"/>
      <c r="C25" s="15"/>
      <c r="D25" s="15"/>
      <c r="E25" s="37"/>
      <c r="F25" s="297"/>
      <c r="G25" s="122"/>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64"/>
      <c r="AN25" s="268"/>
      <c r="AO25" s="268"/>
      <c r="AP25" s="268"/>
      <c r="AQ25" s="268"/>
      <c r="AR25" s="268"/>
      <c r="AS25" s="268"/>
    </row>
    <row r="26" spans="1:45" ht="15" customHeight="1" thickBot="1" x14ac:dyDescent="0.3">
      <c r="A26" s="11"/>
      <c r="B26" s="57"/>
      <c r="C26" s="58"/>
      <c r="D26" s="58"/>
      <c r="E26" s="59"/>
      <c r="F26" s="232"/>
      <c r="G26" s="124"/>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68"/>
      <c r="AN26" s="268"/>
      <c r="AO26" s="268"/>
      <c r="AP26" s="268"/>
      <c r="AQ26" s="268"/>
      <c r="AR26" s="268"/>
      <c r="AS26" s="268"/>
    </row>
    <row r="27" spans="1:45" ht="15" customHeight="1" x14ac:dyDescent="0.25">
      <c r="A27" s="11"/>
      <c r="B27" s="264" t="s">
        <v>174</v>
      </c>
      <c r="C27" s="229"/>
      <c r="D27" s="15"/>
      <c r="E27" s="262"/>
      <c r="F27" s="263"/>
      <c r="G27" s="122"/>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64"/>
      <c r="AN27" s="269" t="s">
        <v>161</v>
      </c>
      <c r="AO27" s="268"/>
      <c r="AP27" s="268"/>
      <c r="AQ27" s="268"/>
      <c r="AR27" s="268"/>
      <c r="AS27" s="268"/>
    </row>
    <row r="28" spans="1:45" ht="15" customHeight="1" x14ac:dyDescent="0.25">
      <c r="A28" s="11"/>
      <c r="B28" s="228"/>
      <c r="C28" s="229"/>
      <c r="D28" s="15"/>
      <c r="E28" s="37" t="s">
        <v>471</v>
      </c>
      <c r="F28" s="144">
        <v>1</v>
      </c>
      <c r="G28" s="122" t="s">
        <v>67</v>
      </c>
      <c r="H28" s="80"/>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64"/>
      <c r="AN28" s="269" t="s">
        <v>159</v>
      </c>
      <c r="AO28" s="268"/>
      <c r="AP28" s="268"/>
      <c r="AQ28" s="268"/>
      <c r="AR28" s="268"/>
      <c r="AS28" s="268"/>
    </row>
    <row r="29" spans="1:45" ht="15" customHeight="1" x14ac:dyDescent="0.25">
      <c r="A29" s="11"/>
      <c r="B29" s="56"/>
      <c r="C29" s="15"/>
      <c r="D29" s="15"/>
      <c r="E29" s="37" t="s">
        <v>445</v>
      </c>
      <c r="F29" s="144">
        <v>50</v>
      </c>
      <c r="G29" s="125" t="s">
        <v>69</v>
      </c>
      <c r="H29" s="80"/>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64"/>
      <c r="AN29" s="269"/>
      <c r="AO29" s="268"/>
      <c r="AP29" s="268"/>
      <c r="AQ29" s="268"/>
      <c r="AR29" s="270">
        <v>10</v>
      </c>
      <c r="AS29" s="271" t="e">
        <f>AS37/0.1</f>
        <v>#DIV/0!</v>
      </c>
    </row>
    <row r="30" spans="1:45" ht="15" customHeight="1" x14ac:dyDescent="0.25">
      <c r="A30" s="11"/>
      <c r="B30" s="56"/>
      <c r="C30" s="15"/>
      <c r="D30" s="15"/>
      <c r="E30" s="37" t="s">
        <v>446</v>
      </c>
      <c r="F30" s="230">
        <f>Equations!F28</f>
        <v>40</v>
      </c>
      <c r="G30" s="122" t="s">
        <v>66</v>
      </c>
      <c r="H30" s="80"/>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64"/>
      <c r="AN30" s="269"/>
      <c r="AO30" s="268"/>
      <c r="AP30" s="268"/>
      <c r="AQ30" s="268"/>
      <c r="AR30" s="270"/>
      <c r="AS30" s="271"/>
    </row>
    <row r="31" spans="1:45" ht="15" customHeight="1" x14ac:dyDescent="0.25">
      <c r="A31" s="11"/>
      <c r="B31" s="56"/>
      <c r="C31" s="15"/>
      <c r="D31" s="15"/>
      <c r="E31" s="37" t="s">
        <v>415</v>
      </c>
      <c r="F31" s="275">
        <v>40</v>
      </c>
      <c r="G31" s="122" t="s">
        <v>66</v>
      </c>
      <c r="H31" s="80"/>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64"/>
      <c r="AN31" s="269"/>
      <c r="AO31" s="268"/>
      <c r="AP31" s="268"/>
      <c r="AQ31" s="268"/>
      <c r="AR31" s="270"/>
      <c r="AS31" s="271"/>
    </row>
    <row r="32" spans="1:45" ht="15" customHeight="1" x14ac:dyDescent="0.25">
      <c r="A32" s="11"/>
      <c r="B32" s="56"/>
      <c r="C32" s="15"/>
      <c r="D32" s="74"/>
      <c r="E32" s="75" t="s">
        <v>73</v>
      </c>
      <c r="F32" s="274">
        <f>F33*0.9</f>
        <v>13.5</v>
      </c>
      <c r="G32" s="122" t="s">
        <v>27</v>
      </c>
      <c r="H32" s="80"/>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64"/>
      <c r="AN32" s="269"/>
      <c r="AO32" s="268"/>
      <c r="AP32" s="268"/>
      <c r="AQ32" s="268"/>
      <c r="AR32" s="270"/>
      <c r="AS32" s="271"/>
    </row>
    <row r="33" spans="1:45" ht="15" customHeight="1" x14ac:dyDescent="0.25">
      <c r="A33" s="11"/>
      <c r="B33" s="56"/>
      <c r="C33" s="15"/>
      <c r="D33" s="76"/>
      <c r="E33" s="77" t="s">
        <v>74</v>
      </c>
      <c r="F33" s="276">
        <f>Equations!I23</f>
        <v>15</v>
      </c>
      <c r="G33" s="122" t="s">
        <v>27</v>
      </c>
      <c r="H33" s="80"/>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64"/>
      <c r="AN33" s="269"/>
      <c r="AO33" s="268"/>
      <c r="AP33" s="268"/>
      <c r="AQ33" s="268"/>
      <c r="AR33" s="270"/>
      <c r="AS33" s="271"/>
    </row>
    <row r="34" spans="1:45" ht="15" customHeight="1" x14ac:dyDescent="0.25">
      <c r="A34" s="11"/>
      <c r="B34" s="321" t="s">
        <v>470</v>
      </c>
      <c r="C34" s="15"/>
      <c r="D34" s="95"/>
      <c r="E34" s="96" t="s">
        <v>75</v>
      </c>
      <c r="F34" s="276">
        <f>F33*1.1</f>
        <v>16.5</v>
      </c>
      <c r="G34" s="122" t="s">
        <v>27</v>
      </c>
      <c r="H34" s="80"/>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64"/>
      <c r="AN34" s="269"/>
      <c r="AO34" s="268"/>
      <c r="AP34" s="268"/>
      <c r="AQ34" s="268"/>
      <c r="AR34" s="270"/>
      <c r="AS34" s="271"/>
    </row>
    <row r="35" spans="1:45" ht="15" customHeight="1" x14ac:dyDescent="0.25">
      <c r="A35" s="11"/>
      <c r="B35" s="321"/>
      <c r="C35" s="15"/>
      <c r="D35" s="15"/>
      <c r="E35" s="37" t="s">
        <v>435</v>
      </c>
      <c r="F35" s="230">
        <f>Equations!F29</f>
        <v>10</v>
      </c>
      <c r="G35" s="122" t="s">
        <v>66</v>
      </c>
      <c r="H35" s="80"/>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64"/>
      <c r="AN35" s="269"/>
      <c r="AO35" s="268"/>
      <c r="AP35" s="268"/>
      <c r="AQ35" s="268"/>
      <c r="AR35" s="270">
        <v>100</v>
      </c>
      <c r="AS35" s="271" t="e">
        <f>AS37</f>
        <v>#DIV/0!</v>
      </c>
    </row>
    <row r="36" spans="1:45" ht="15" customHeight="1" x14ac:dyDescent="0.25">
      <c r="A36" s="11"/>
      <c r="B36" s="321"/>
      <c r="C36" s="15"/>
      <c r="D36" s="15"/>
      <c r="E36" s="37" t="s">
        <v>434</v>
      </c>
      <c r="F36" s="230">
        <f>Equations!L29</f>
        <v>18.518518518518519</v>
      </c>
      <c r="G36" s="122" t="s">
        <v>66</v>
      </c>
      <c r="H36" s="80"/>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64"/>
      <c r="AN36" s="269"/>
      <c r="AO36" s="268"/>
      <c r="AP36" s="268"/>
      <c r="AQ36" s="268"/>
      <c r="AR36" s="270"/>
      <c r="AS36" s="271"/>
    </row>
    <row r="37" spans="1:45" ht="15" customHeight="1" x14ac:dyDescent="0.25">
      <c r="A37" s="11"/>
      <c r="B37" s="56"/>
      <c r="C37" s="15"/>
      <c r="D37" s="15"/>
      <c r="E37" s="37" t="s">
        <v>417</v>
      </c>
      <c r="F37" s="275">
        <v>10</v>
      </c>
      <c r="G37" s="122" t="s">
        <v>66</v>
      </c>
      <c r="H37" s="80"/>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64"/>
      <c r="AN37" s="269"/>
      <c r="AO37" s="268"/>
      <c r="AP37" s="268"/>
      <c r="AQ37" s="268"/>
      <c r="AR37" s="270"/>
      <c r="AS37" s="271" t="e">
        <f>0.35/(RSNS*IOUTMAX)*100</f>
        <v>#DIV/0!</v>
      </c>
    </row>
    <row r="38" spans="1:45" ht="15" customHeight="1" x14ac:dyDescent="0.25">
      <c r="A38" s="11"/>
      <c r="B38" s="56"/>
      <c r="C38" s="15"/>
      <c r="D38" s="15"/>
      <c r="E38" s="37" t="s">
        <v>455</v>
      </c>
      <c r="F38" s="230">
        <f>Equations!I29</f>
        <v>2.7</v>
      </c>
      <c r="G38" s="122" t="s">
        <v>68</v>
      </c>
      <c r="H38" s="80"/>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64"/>
      <c r="AN38" s="269"/>
      <c r="AO38" s="268"/>
      <c r="AP38" s="268"/>
      <c r="AQ38" s="268"/>
      <c r="AR38" s="268"/>
      <c r="AS38" s="268"/>
    </row>
    <row r="39" spans="1:45" ht="15" customHeight="1" x14ac:dyDescent="0.25">
      <c r="A39" s="11"/>
      <c r="B39" s="56"/>
      <c r="C39" s="15"/>
      <c r="D39" s="15"/>
      <c r="E39" s="37" t="s">
        <v>438</v>
      </c>
      <c r="F39" s="230">
        <f>Equations!F32</f>
        <v>1</v>
      </c>
      <c r="G39" s="122" t="s">
        <v>66</v>
      </c>
      <c r="H39" s="80"/>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64"/>
      <c r="AN39" s="269"/>
      <c r="AO39" s="268"/>
      <c r="AP39" s="268"/>
      <c r="AQ39" s="268"/>
      <c r="AR39" s="268"/>
      <c r="AS39" s="268"/>
    </row>
    <row r="40" spans="1:45" ht="15" customHeight="1" x14ac:dyDescent="0.25">
      <c r="A40" s="11"/>
      <c r="B40" s="56"/>
      <c r="C40" s="15"/>
      <c r="D40" s="15"/>
      <c r="E40" s="37" t="s">
        <v>437</v>
      </c>
      <c r="F40" s="144">
        <v>1</v>
      </c>
      <c r="G40" s="122" t="s">
        <v>66</v>
      </c>
      <c r="H40" s="80"/>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64"/>
      <c r="AN40" s="269"/>
      <c r="AO40" s="268"/>
      <c r="AP40" s="268"/>
      <c r="AQ40" s="268"/>
      <c r="AR40" s="268"/>
      <c r="AS40" s="268"/>
    </row>
    <row r="41" spans="1:45" ht="15" customHeight="1" x14ac:dyDescent="0.25">
      <c r="A41" s="11"/>
      <c r="B41" s="56"/>
      <c r="C41" s="15"/>
      <c r="D41" s="15"/>
      <c r="E41" s="37" t="s">
        <v>441</v>
      </c>
      <c r="F41" s="230">
        <f>Equations!I32</f>
        <v>30</v>
      </c>
      <c r="G41" s="122" t="s">
        <v>27</v>
      </c>
      <c r="H41" s="80"/>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64"/>
      <c r="AN41" s="269"/>
      <c r="AO41" s="268"/>
      <c r="AP41" s="268"/>
      <c r="AQ41" s="268"/>
      <c r="AR41" s="268"/>
      <c r="AS41" s="268"/>
    </row>
    <row r="42" spans="1:45" ht="15" customHeight="1" x14ac:dyDescent="0.25">
      <c r="A42" s="11"/>
      <c r="B42" s="56"/>
      <c r="C42" s="15"/>
      <c r="D42" s="15"/>
      <c r="E42" s="37" t="s">
        <v>436</v>
      </c>
      <c r="F42" s="230">
        <f>INDEX('Cap Tables'!B4:B75,MATCH(Equations!F30,'Cap Tables'!B4:B75)+1)</f>
        <v>68</v>
      </c>
      <c r="G42" s="122" t="s">
        <v>85</v>
      </c>
      <c r="H42" s="80"/>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64"/>
      <c r="AN42" s="269">
        <f>Equations!F30</f>
        <v>64.583333333333343</v>
      </c>
      <c r="AO42" s="268"/>
      <c r="AP42" s="268"/>
      <c r="AQ42" s="268"/>
      <c r="AR42" s="268"/>
      <c r="AS42" s="268"/>
    </row>
    <row r="43" spans="1:45" ht="15" customHeight="1" x14ac:dyDescent="0.25">
      <c r="A43" s="11"/>
      <c r="B43" s="56"/>
      <c r="C43" s="15"/>
      <c r="D43" s="15"/>
      <c r="E43" s="37" t="s">
        <v>450</v>
      </c>
      <c r="F43" s="275">
        <v>68</v>
      </c>
      <c r="G43" s="122" t="s">
        <v>85</v>
      </c>
      <c r="H43" s="80"/>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64"/>
      <c r="AN43" s="269"/>
      <c r="AO43" s="268"/>
      <c r="AP43" s="268"/>
      <c r="AQ43" s="268"/>
      <c r="AR43" s="268"/>
      <c r="AS43" s="268"/>
    </row>
    <row r="44" spans="1:45" ht="15" customHeight="1" x14ac:dyDescent="0.25">
      <c r="A44" s="11"/>
      <c r="B44" s="56"/>
      <c r="C44" s="15"/>
      <c r="D44" s="15"/>
      <c r="E44" s="37" t="s">
        <v>447</v>
      </c>
      <c r="F44" s="230">
        <f>Equations!I31</f>
        <v>1.0529032258064515</v>
      </c>
      <c r="G44" s="122" t="s">
        <v>8</v>
      </c>
      <c r="H44" s="80"/>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64"/>
      <c r="AN44" s="269"/>
      <c r="AO44" s="268"/>
      <c r="AP44" s="268"/>
      <c r="AQ44" s="268"/>
      <c r="AR44" s="268"/>
      <c r="AS44" s="268"/>
    </row>
    <row r="45" spans="1:45" ht="15" customHeight="1" x14ac:dyDescent="0.25">
      <c r="A45" s="11"/>
      <c r="B45" s="56"/>
      <c r="C45" s="15"/>
      <c r="D45" s="15"/>
      <c r="E45" s="37" t="s">
        <v>394</v>
      </c>
      <c r="F45" s="277">
        <f>Equations!F31</f>
        <v>1543.6</v>
      </c>
      <c r="G45" s="122" t="s">
        <v>8</v>
      </c>
      <c r="H45" s="80"/>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64"/>
      <c r="AN45" s="269"/>
      <c r="AO45" s="268"/>
      <c r="AP45" s="268"/>
      <c r="AQ45" s="268"/>
      <c r="AR45" s="268"/>
      <c r="AS45" s="268"/>
    </row>
    <row r="46" spans="1:45" ht="15" customHeight="1" thickBot="1" x14ac:dyDescent="0.3">
      <c r="A46" s="11"/>
      <c r="B46" s="231"/>
      <c r="C46" s="15"/>
      <c r="D46" s="15"/>
      <c r="E46" s="59"/>
      <c r="F46" s="266"/>
      <c r="G46" s="267"/>
      <c r="H46" s="149"/>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64"/>
      <c r="AN46" s="268"/>
      <c r="AO46" s="268"/>
      <c r="AP46" s="268"/>
      <c r="AQ46" s="268"/>
      <c r="AR46" s="268"/>
      <c r="AS46" s="268"/>
    </row>
    <row r="47" spans="1:45" ht="13.8" x14ac:dyDescent="0.25">
      <c r="A47" s="11"/>
      <c r="B47" s="98" t="s">
        <v>88</v>
      </c>
      <c r="C47" s="53"/>
      <c r="D47" s="53"/>
      <c r="E47" s="28" t="s">
        <v>473</v>
      </c>
      <c r="F47" s="261" t="s">
        <v>469</v>
      </c>
      <c r="G47" s="12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79"/>
      <c r="AN47" s="268"/>
      <c r="AO47" s="268"/>
      <c r="AP47" s="268"/>
      <c r="AQ47" s="268"/>
      <c r="AR47" s="268"/>
      <c r="AS47" s="268"/>
    </row>
    <row r="48" spans="1:45" ht="15.6" x14ac:dyDescent="0.35">
      <c r="A48" s="11"/>
      <c r="B48" s="56"/>
      <c r="C48" s="15"/>
      <c r="D48" s="15"/>
      <c r="E48" s="28" t="s">
        <v>203</v>
      </c>
      <c r="F48" s="265">
        <v>40</v>
      </c>
      <c r="G48" s="122" t="s">
        <v>91</v>
      </c>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64"/>
      <c r="AN48" s="268">
        <f>((((TJMAX-TAMB)/ThetaJA)/(CLMAX^2))*1000)*NUMFETS^2</f>
        <v>8.7235996326905418</v>
      </c>
      <c r="AO48" s="268">
        <f>((TJMAX-TAMB)/ThetaJA)</f>
        <v>2.375</v>
      </c>
      <c r="AP48" s="268"/>
      <c r="AQ48" s="268"/>
      <c r="AR48" s="268"/>
      <c r="AS48" s="268"/>
    </row>
    <row r="49" spans="1:45" x14ac:dyDescent="0.25">
      <c r="A49" s="11"/>
      <c r="B49" s="56"/>
      <c r="C49" s="15"/>
      <c r="D49" s="15"/>
      <c r="E49" s="28" t="s">
        <v>474</v>
      </c>
      <c r="F49" s="144">
        <v>1</v>
      </c>
      <c r="G49" s="122" t="s">
        <v>89</v>
      </c>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64"/>
      <c r="AN49" s="272" t="s">
        <v>204</v>
      </c>
      <c r="AO49" s="268"/>
      <c r="AP49" s="268"/>
      <c r="AQ49" s="268"/>
      <c r="AR49" s="268"/>
      <c r="AS49" s="268"/>
    </row>
    <row r="50" spans="1:45" ht="15.6" x14ac:dyDescent="0.35">
      <c r="A50" s="11"/>
      <c r="B50" s="56"/>
      <c r="C50" s="15"/>
      <c r="D50" s="15"/>
      <c r="E50" s="28" t="s">
        <v>206</v>
      </c>
      <c r="F50" s="144">
        <v>3.77</v>
      </c>
      <c r="G50" s="122" t="s">
        <v>67</v>
      </c>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64"/>
      <c r="AN50" s="269">
        <f>F50</f>
        <v>3.77</v>
      </c>
      <c r="AO50" s="268"/>
      <c r="AP50" s="268"/>
      <c r="AQ50" s="268"/>
      <c r="AR50" s="268"/>
      <c r="AS50" s="268"/>
    </row>
    <row r="51" spans="1:45" ht="15.6" x14ac:dyDescent="0.25">
      <c r="A51" s="11"/>
      <c r="B51" s="56"/>
      <c r="C51" s="15"/>
      <c r="D51" s="15"/>
      <c r="E51" s="28" t="s">
        <v>92</v>
      </c>
      <c r="F51" s="144">
        <v>150</v>
      </c>
      <c r="G51" s="122" t="s">
        <v>151</v>
      </c>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64"/>
      <c r="AN51" s="269">
        <f t="shared" ref="AN51:AN56" si="0">F51</f>
        <v>150</v>
      </c>
      <c r="AO51" s="268"/>
      <c r="AP51" s="268"/>
      <c r="AQ51" s="268"/>
      <c r="AR51" s="268"/>
      <c r="AS51" s="268"/>
    </row>
    <row r="52" spans="1:45" ht="15.6" x14ac:dyDescent="0.35">
      <c r="A52" s="11"/>
      <c r="B52" s="224"/>
      <c r="C52" s="15"/>
      <c r="D52" s="15"/>
      <c r="E52" s="28" t="s">
        <v>301</v>
      </c>
      <c r="F52" s="145">
        <v>160</v>
      </c>
      <c r="G52" s="122" t="s">
        <v>27</v>
      </c>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64"/>
      <c r="AN52" s="269">
        <f t="shared" si="0"/>
        <v>160</v>
      </c>
      <c r="AO52" s="268"/>
      <c r="AP52" s="268"/>
      <c r="AQ52" s="268"/>
      <c r="AR52" s="268"/>
      <c r="AS52" s="268"/>
    </row>
    <row r="53" spans="1:45" ht="15.6" x14ac:dyDescent="0.35">
      <c r="A53" s="11"/>
      <c r="B53" s="224"/>
      <c r="C53" s="15"/>
      <c r="D53" s="15"/>
      <c r="E53" s="28" t="s">
        <v>302</v>
      </c>
      <c r="F53" s="145">
        <v>21</v>
      </c>
      <c r="G53" s="122" t="s">
        <v>27</v>
      </c>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64"/>
      <c r="AN53" s="269">
        <f t="shared" si="0"/>
        <v>21</v>
      </c>
      <c r="AO53" s="268"/>
      <c r="AP53" s="268"/>
      <c r="AQ53" s="268"/>
      <c r="AR53" s="268"/>
      <c r="AS53" s="268"/>
    </row>
    <row r="54" spans="1:45" ht="15.6" x14ac:dyDescent="0.35">
      <c r="A54" s="11"/>
      <c r="B54" s="226" t="s">
        <v>88</v>
      </c>
      <c r="C54" s="15"/>
      <c r="D54" s="15"/>
      <c r="E54" s="28" t="s">
        <v>303</v>
      </c>
      <c r="F54" s="145">
        <v>9</v>
      </c>
      <c r="G54" s="122" t="s">
        <v>27</v>
      </c>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64"/>
      <c r="AN54" s="269">
        <f t="shared" si="0"/>
        <v>9</v>
      </c>
      <c r="AO54" s="268"/>
      <c r="AP54" s="268"/>
      <c r="AQ54" s="268"/>
      <c r="AR54" s="318"/>
      <c r="AS54" s="268"/>
    </row>
    <row r="55" spans="1:45" ht="15.6" x14ac:dyDescent="0.35">
      <c r="A55" s="11"/>
      <c r="B55" s="224"/>
      <c r="C55" s="15"/>
      <c r="D55" s="15"/>
      <c r="E55" s="28" t="s">
        <v>304</v>
      </c>
      <c r="F55" s="145">
        <v>5</v>
      </c>
      <c r="G55" s="122" t="s">
        <v>27</v>
      </c>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64"/>
      <c r="AN55" s="269">
        <f t="shared" si="0"/>
        <v>5</v>
      </c>
      <c r="AO55" s="268"/>
      <c r="AP55" s="268"/>
      <c r="AQ55" s="268"/>
      <c r="AR55" s="318"/>
      <c r="AS55" s="268"/>
    </row>
    <row r="56" spans="1:45" ht="15.6" x14ac:dyDescent="0.35">
      <c r="A56" s="11"/>
      <c r="B56" s="224"/>
      <c r="C56" s="15"/>
      <c r="D56" s="15"/>
      <c r="E56" s="28" t="s">
        <v>305</v>
      </c>
      <c r="F56" s="145">
        <v>2.8</v>
      </c>
      <c r="G56" s="122" t="s">
        <v>27</v>
      </c>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64"/>
      <c r="AN56" s="269">
        <f t="shared" si="0"/>
        <v>2.8</v>
      </c>
      <c r="AO56" s="268"/>
      <c r="AP56" s="268"/>
      <c r="AQ56" s="268"/>
      <c r="AR56" s="318"/>
      <c r="AS56" s="268"/>
    </row>
    <row r="57" spans="1:45" ht="15" customHeight="1" x14ac:dyDescent="0.25">
      <c r="A57" s="11"/>
      <c r="B57" s="319" t="s">
        <v>366</v>
      </c>
      <c r="C57" s="15"/>
      <c r="D57" s="15"/>
      <c r="E57" s="28" t="s">
        <v>257</v>
      </c>
      <c r="F57" s="293">
        <f>(F17/NUMFETS)^2*RDSON/1000</f>
        <v>0.377</v>
      </c>
      <c r="G57" s="122" t="s">
        <v>69</v>
      </c>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64"/>
      <c r="AN57" s="268"/>
      <c r="AO57" s="268"/>
      <c r="AP57" s="268"/>
      <c r="AQ57" s="268"/>
      <c r="AR57" s="318"/>
      <c r="AS57" s="268"/>
    </row>
    <row r="58" spans="1:45" ht="15" customHeight="1" x14ac:dyDescent="0.35">
      <c r="A58" s="11"/>
      <c r="B58" s="319"/>
      <c r="C58" s="15"/>
      <c r="D58" s="15"/>
      <c r="E58" s="28" t="s">
        <v>205</v>
      </c>
      <c r="F58" s="278">
        <f>TAMB+(FETPDISS*ThetaJA)</f>
        <v>70.08</v>
      </c>
      <c r="G58" s="122" t="s">
        <v>90</v>
      </c>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64"/>
      <c r="AN58" s="268"/>
      <c r="AO58" s="268"/>
      <c r="AP58" s="268"/>
      <c r="AQ58" s="268"/>
      <c r="AR58" s="318"/>
      <c r="AS58" s="268"/>
    </row>
    <row r="59" spans="1:45" ht="15" customHeight="1" x14ac:dyDescent="0.25">
      <c r="A59" s="11"/>
      <c r="B59" s="319"/>
      <c r="C59" s="15"/>
      <c r="D59" s="15"/>
      <c r="E59" s="28"/>
      <c r="F59" s="277"/>
      <c r="G59" s="122"/>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64"/>
      <c r="AN59" s="268"/>
      <c r="AO59" s="268"/>
      <c r="AP59" s="268"/>
      <c r="AQ59" s="268"/>
      <c r="AR59" s="318"/>
      <c r="AS59" s="268"/>
    </row>
    <row r="60" spans="1:45" ht="15" customHeight="1" x14ac:dyDescent="0.25">
      <c r="A60" s="11"/>
      <c r="B60" s="319"/>
      <c r="C60" s="15"/>
      <c r="D60" s="15"/>
      <c r="E60" s="27"/>
      <c r="F60" s="27"/>
      <c r="G60" s="25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64"/>
      <c r="AN60" s="268"/>
      <c r="AO60" s="268"/>
      <c r="AP60" s="268"/>
      <c r="AQ60" s="268"/>
      <c r="AR60" s="318"/>
      <c r="AS60" s="268"/>
    </row>
    <row r="61" spans="1:45" ht="15" customHeight="1" x14ac:dyDescent="0.25">
      <c r="A61" s="11"/>
      <c r="B61" s="319"/>
      <c r="C61" s="15"/>
      <c r="D61" s="15"/>
      <c r="E61" s="27"/>
      <c r="F61" s="27"/>
      <c r="G61" s="25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64"/>
      <c r="AN61" s="268"/>
      <c r="AO61" s="268"/>
      <c r="AP61" s="268"/>
      <c r="AQ61" s="268"/>
      <c r="AR61" s="318"/>
      <c r="AS61" s="268"/>
    </row>
    <row r="62" spans="1:45" ht="15" customHeight="1" x14ac:dyDescent="0.25">
      <c r="A62" s="11"/>
      <c r="B62" s="319"/>
      <c r="C62" s="15"/>
      <c r="D62" s="15"/>
      <c r="E62" s="27"/>
      <c r="F62" s="27"/>
      <c r="G62" s="25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64"/>
      <c r="AN62" s="268"/>
      <c r="AO62" s="268"/>
      <c r="AP62" s="268"/>
      <c r="AQ62" s="268"/>
      <c r="AR62" s="268"/>
      <c r="AS62" s="268"/>
    </row>
    <row r="63" spans="1:45" ht="15" customHeight="1" x14ac:dyDescent="0.25">
      <c r="A63" s="11"/>
      <c r="B63" s="319"/>
      <c r="C63" s="15"/>
      <c r="D63" s="15"/>
      <c r="E63" s="27"/>
      <c r="F63" s="27"/>
      <c r="G63" s="25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64"/>
      <c r="AN63" s="268"/>
      <c r="AO63" s="268"/>
      <c r="AP63" s="268"/>
      <c r="AQ63" s="268"/>
      <c r="AR63" s="268"/>
      <c r="AS63" s="268"/>
    </row>
    <row r="64" spans="1:45" ht="24" customHeight="1" thickBot="1" x14ac:dyDescent="0.3">
      <c r="A64" s="11"/>
      <c r="B64" s="319"/>
      <c r="C64" s="15"/>
      <c r="D64" s="15"/>
      <c r="E64" s="27"/>
      <c r="F64" s="27"/>
      <c r="G64" s="257"/>
      <c r="H64" s="15"/>
      <c r="I64" s="316" t="s">
        <v>382</v>
      </c>
      <c r="J64" s="317"/>
      <c r="K64" s="317"/>
      <c r="L64" s="317"/>
      <c r="M64" s="317"/>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64"/>
      <c r="AN64" s="268"/>
      <c r="AO64" s="268"/>
      <c r="AP64" s="268"/>
      <c r="AQ64" s="268"/>
      <c r="AR64" s="268"/>
      <c r="AS64" s="268"/>
    </row>
    <row r="65" spans="1:45" ht="13.8" x14ac:dyDescent="0.25">
      <c r="A65" s="11"/>
      <c r="B65" s="98" t="s">
        <v>98</v>
      </c>
      <c r="C65" s="53"/>
      <c r="D65" s="53"/>
      <c r="E65" s="60" t="s">
        <v>154</v>
      </c>
      <c r="F65" s="146">
        <v>6</v>
      </c>
      <c r="G65" s="126" t="s">
        <v>68</v>
      </c>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79"/>
      <c r="AN65" s="269"/>
      <c r="AO65" s="268"/>
      <c r="AP65" s="268"/>
      <c r="AQ65" s="268"/>
      <c r="AR65" s="268"/>
      <c r="AS65" s="268"/>
    </row>
    <row r="66" spans="1:45" x14ac:dyDescent="0.25">
      <c r="A66" s="11"/>
      <c r="B66" s="61"/>
      <c r="C66" s="15"/>
      <c r="D66" s="15"/>
      <c r="E66" s="28" t="s">
        <v>99</v>
      </c>
      <c r="F66" s="144" t="s">
        <v>102</v>
      </c>
      <c r="G66" s="123"/>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64"/>
      <c r="AN66" s="269"/>
      <c r="AO66" s="268"/>
      <c r="AP66" s="268"/>
      <c r="AQ66" s="268"/>
      <c r="AR66" s="268"/>
      <c r="AS66" s="268"/>
    </row>
    <row r="67" spans="1:45" x14ac:dyDescent="0.25">
      <c r="A67" s="11"/>
      <c r="B67" s="56"/>
      <c r="C67" s="15"/>
      <c r="D67" s="15"/>
      <c r="E67" s="28" t="s">
        <v>100</v>
      </c>
      <c r="F67" s="144">
        <v>1</v>
      </c>
      <c r="G67" s="123" t="str">
        <f>IF(F66="Constant Current","A","Ohms")</f>
        <v>Ohms</v>
      </c>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64"/>
      <c r="AN67" s="268" t="s">
        <v>101</v>
      </c>
      <c r="AO67" s="268"/>
      <c r="AP67" s="268"/>
      <c r="AQ67" s="268"/>
      <c r="AR67" s="268"/>
      <c r="AS67" s="268"/>
    </row>
    <row r="68" spans="1:45" x14ac:dyDescent="0.25">
      <c r="A68" s="11"/>
      <c r="B68" s="56"/>
      <c r="C68" s="15"/>
      <c r="D68" s="15"/>
      <c r="E68" s="37" t="s">
        <v>160</v>
      </c>
      <c r="F68" s="143" t="s">
        <v>161</v>
      </c>
      <c r="G68" s="123"/>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64"/>
      <c r="AN68" s="268" t="s">
        <v>102</v>
      </c>
      <c r="AO68" s="268"/>
      <c r="AP68" s="268"/>
      <c r="AQ68" s="268"/>
      <c r="AR68" s="268"/>
      <c r="AS68" s="268"/>
    </row>
    <row r="69" spans="1:45" ht="15" customHeight="1" x14ac:dyDescent="0.25">
      <c r="A69" s="11"/>
      <c r="B69" s="56"/>
      <c r="C69" s="15"/>
      <c r="D69" s="71"/>
      <c r="E69" s="298" t="s">
        <v>475</v>
      </c>
      <c r="F69" s="144">
        <v>0.5</v>
      </c>
      <c r="G69" s="122" t="s">
        <v>85</v>
      </c>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64"/>
      <c r="AN69" s="268"/>
      <c r="AO69" s="268"/>
      <c r="AP69" s="268"/>
      <c r="AQ69" s="268"/>
      <c r="AR69" s="268"/>
      <c r="AS69" s="268"/>
    </row>
    <row r="70" spans="1:45" ht="15" customHeight="1" x14ac:dyDescent="0.25">
      <c r="A70" s="11"/>
      <c r="B70" s="294"/>
      <c r="C70" s="295"/>
      <c r="D70" s="71"/>
      <c r="E70" s="25" t="s">
        <v>459</v>
      </c>
      <c r="F70" s="280">
        <f>Equations!F71</f>
        <v>5.5</v>
      </c>
      <c r="G70" s="122" t="s">
        <v>85</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64"/>
      <c r="AN70" s="268"/>
      <c r="AO70" s="268"/>
      <c r="AP70" s="268"/>
      <c r="AQ70" s="268"/>
      <c r="AR70" s="268"/>
      <c r="AS70" s="268"/>
    </row>
    <row r="71" spans="1:45" ht="15" customHeight="1" x14ac:dyDescent="0.25">
      <c r="A71" s="11"/>
      <c r="B71" s="294"/>
      <c r="C71" s="295"/>
      <c r="D71" s="71"/>
      <c r="E71" s="25" t="s">
        <v>460</v>
      </c>
      <c r="F71" s="144">
        <v>10</v>
      </c>
      <c r="G71" s="122" t="s">
        <v>85</v>
      </c>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64"/>
      <c r="AN71" s="268"/>
      <c r="AO71" s="268"/>
      <c r="AP71" s="268"/>
      <c r="AQ71" s="268"/>
      <c r="AR71" s="268"/>
      <c r="AS71" s="268"/>
    </row>
    <row r="72" spans="1:45" ht="15" customHeight="1" x14ac:dyDescent="0.25">
      <c r="A72" s="11"/>
      <c r="B72" s="294"/>
      <c r="C72" s="295"/>
      <c r="D72" s="71"/>
      <c r="E72" s="25" t="s">
        <v>451</v>
      </c>
      <c r="F72" s="279">
        <f>Equations!F73</f>
        <v>5.5</v>
      </c>
      <c r="G72" s="122" t="s">
        <v>260</v>
      </c>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64"/>
      <c r="AN72" s="268"/>
      <c r="AO72" s="268"/>
      <c r="AP72" s="268"/>
      <c r="AQ72" s="268"/>
      <c r="AR72" s="268"/>
      <c r="AS72" s="268"/>
    </row>
    <row r="73" spans="1:45" ht="15" customHeight="1" x14ac:dyDescent="0.25">
      <c r="A73" s="11"/>
      <c r="B73" s="296" t="s">
        <v>98</v>
      </c>
      <c r="C73" s="295"/>
      <c r="D73" s="71"/>
      <c r="E73" s="25" t="s">
        <v>464</v>
      </c>
      <c r="F73" s="281">
        <f>I_Cout_ss</f>
        <v>0.55000000000000004</v>
      </c>
      <c r="G73" s="122" t="s">
        <v>27</v>
      </c>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64"/>
      <c r="AN73" s="268"/>
      <c r="AO73" s="268"/>
      <c r="AP73" s="268"/>
      <c r="AQ73" s="268"/>
      <c r="AR73" s="268"/>
      <c r="AS73" s="268"/>
    </row>
    <row r="74" spans="1:45" ht="19.2" customHeight="1" x14ac:dyDescent="0.25">
      <c r="A74" s="11"/>
      <c r="B74" s="294"/>
      <c r="C74" s="295"/>
      <c r="D74" s="71"/>
      <c r="E74" s="25" t="s">
        <v>289</v>
      </c>
      <c r="F74" s="279">
        <f>Equations!F80</f>
        <v>3.2639918441097415</v>
      </c>
      <c r="G74" s="122"/>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64"/>
      <c r="AN74" s="268"/>
      <c r="AO74" s="268"/>
      <c r="AP74" s="268"/>
      <c r="AQ74" s="268"/>
      <c r="AR74" s="268"/>
      <c r="AS74" s="268"/>
    </row>
    <row r="75" spans="1:45" ht="16.95" customHeight="1" x14ac:dyDescent="0.25">
      <c r="A75" s="11"/>
      <c r="B75" s="56"/>
      <c r="C75" s="15"/>
      <c r="D75" s="71"/>
      <c r="E75" s="71"/>
      <c r="F75" s="71"/>
      <c r="G75" s="25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64"/>
      <c r="AN75" s="268"/>
      <c r="AO75" s="268"/>
      <c r="AP75" s="268"/>
      <c r="AQ75" s="268"/>
      <c r="AR75" s="268"/>
      <c r="AS75" s="268"/>
    </row>
    <row r="76" spans="1:45" ht="16.95" customHeight="1" x14ac:dyDescent="0.25">
      <c r="A76" s="11"/>
      <c r="B76" s="56"/>
      <c r="C76" s="15"/>
      <c r="D76" s="71"/>
      <c r="E76" s="71"/>
      <c r="F76" s="71"/>
      <c r="G76" s="25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64"/>
      <c r="AN76" s="268"/>
      <c r="AO76" s="268"/>
      <c r="AP76" s="268"/>
      <c r="AQ76" s="268"/>
      <c r="AR76" s="268"/>
      <c r="AS76" s="268"/>
    </row>
    <row r="77" spans="1:45" ht="16.95" customHeight="1" x14ac:dyDescent="0.25">
      <c r="A77" s="11"/>
      <c r="B77" s="56"/>
      <c r="C77" s="15"/>
      <c r="D77" s="71"/>
      <c r="E77" s="71"/>
      <c r="F77" s="71"/>
      <c r="G77" s="25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64"/>
      <c r="AN77" s="268"/>
      <c r="AO77" s="268"/>
      <c r="AP77" s="268"/>
      <c r="AQ77" s="268"/>
      <c r="AR77" s="268"/>
      <c r="AS77" s="268"/>
    </row>
    <row r="78" spans="1:45" ht="15" customHeight="1" thickBot="1" x14ac:dyDescent="0.3">
      <c r="A78" s="11"/>
      <c r="B78" s="56"/>
      <c r="C78" s="15"/>
      <c r="D78" s="71"/>
      <c r="E78" s="256"/>
      <c r="F78" s="256"/>
      <c r="G78" s="257"/>
      <c r="H78" s="80"/>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64"/>
      <c r="AN78" s="268"/>
      <c r="AO78" s="268"/>
      <c r="AP78" s="268"/>
      <c r="AQ78" s="268"/>
      <c r="AR78" s="268"/>
      <c r="AS78" s="268"/>
    </row>
    <row r="79" spans="1:45" ht="15" customHeight="1" x14ac:dyDescent="0.25">
      <c r="A79" s="11"/>
      <c r="B79" s="98" t="s">
        <v>171</v>
      </c>
      <c r="C79" s="83"/>
      <c r="D79" s="53"/>
      <c r="E79" s="63" t="s">
        <v>23</v>
      </c>
      <c r="F79" s="146" t="s">
        <v>22</v>
      </c>
      <c r="G79" s="127"/>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79"/>
      <c r="AN79" s="269" t="s">
        <v>21</v>
      </c>
      <c r="AO79" s="268"/>
      <c r="AP79" s="268"/>
      <c r="AQ79" s="268"/>
      <c r="AR79" s="268"/>
      <c r="AS79" s="268"/>
    </row>
    <row r="80" spans="1:45" ht="15" customHeight="1" x14ac:dyDescent="0.25">
      <c r="A80" s="11"/>
      <c r="B80" s="56"/>
      <c r="C80" s="15"/>
      <c r="D80" s="15"/>
      <c r="E80" s="37" t="s">
        <v>397</v>
      </c>
      <c r="F80" s="147">
        <v>5</v>
      </c>
      <c r="G80" s="128" t="s">
        <v>68</v>
      </c>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64"/>
      <c r="AN80" s="269" t="s">
        <v>22</v>
      </c>
      <c r="AO80" s="268"/>
      <c r="AP80" s="268"/>
      <c r="AQ80" s="268"/>
      <c r="AR80" s="268"/>
      <c r="AS80" s="268"/>
    </row>
    <row r="81" spans="1:45" ht="15" customHeight="1" x14ac:dyDescent="0.25">
      <c r="A81" s="11"/>
      <c r="B81" s="56"/>
      <c r="C81" s="15"/>
      <c r="D81" s="15"/>
      <c r="E81" s="37"/>
      <c r="G81" s="128"/>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64"/>
      <c r="AN81" s="268"/>
      <c r="AO81" s="268"/>
      <c r="AP81" s="268"/>
      <c r="AQ81" s="268"/>
      <c r="AR81" s="268"/>
      <c r="AS81" s="268"/>
    </row>
    <row r="82" spans="1:45" ht="15" customHeight="1" x14ac:dyDescent="0.25">
      <c r="A82" s="11"/>
      <c r="B82" s="56"/>
      <c r="C82" s="15"/>
      <c r="D82" s="15"/>
      <c r="E82" s="37" t="s">
        <v>398</v>
      </c>
      <c r="F82" s="147">
        <v>37</v>
      </c>
      <c r="G82" s="128" t="s">
        <v>68</v>
      </c>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64"/>
      <c r="AN82" s="268"/>
      <c r="AO82" s="268"/>
      <c r="AP82" s="268"/>
      <c r="AQ82" s="268"/>
      <c r="AR82" s="268"/>
      <c r="AS82" s="268"/>
    </row>
    <row r="83" spans="1:45" ht="15" customHeight="1" x14ac:dyDescent="0.25">
      <c r="A83" s="11"/>
      <c r="B83" s="56"/>
      <c r="C83" s="15"/>
      <c r="D83" s="15"/>
      <c r="E83" s="253"/>
      <c r="G83" s="128"/>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64"/>
      <c r="AN83" s="268"/>
      <c r="AO83" s="268"/>
      <c r="AP83" s="268"/>
      <c r="AQ83" s="268"/>
      <c r="AR83" s="268"/>
      <c r="AS83" s="268"/>
    </row>
    <row r="84" spans="1:45" ht="15" customHeight="1" x14ac:dyDescent="0.25">
      <c r="A84" s="11"/>
      <c r="B84" s="56"/>
      <c r="C84" s="15"/>
      <c r="D84" s="15"/>
      <c r="E84" s="259" t="s">
        <v>202</v>
      </c>
      <c r="F84" s="282">
        <f>IF(F79="Option A",Equations!F137,Equations!G137)</f>
        <v>100</v>
      </c>
      <c r="G84" s="129" t="s">
        <v>66</v>
      </c>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64"/>
      <c r="AN84" s="268"/>
      <c r="AO84" s="268"/>
      <c r="AP84" s="268"/>
      <c r="AQ84" s="268"/>
      <c r="AR84" s="268"/>
      <c r="AS84" s="268"/>
    </row>
    <row r="85" spans="1:45" ht="15" customHeight="1" x14ac:dyDescent="0.25">
      <c r="A85" s="11"/>
      <c r="B85" s="56"/>
      <c r="C85" s="15"/>
      <c r="D85" s="15"/>
      <c r="E85" s="260" t="s">
        <v>24</v>
      </c>
      <c r="F85" s="282">
        <f>IF(F79="Option A",Equations!F138,Equations!G138)</f>
        <v>12.359550561797754</v>
      </c>
      <c r="G85" s="129" t="s">
        <v>66</v>
      </c>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64"/>
      <c r="AN85" s="268"/>
      <c r="AO85" s="268"/>
      <c r="AP85" s="268"/>
      <c r="AQ85" s="268"/>
      <c r="AR85" s="268"/>
      <c r="AS85" s="268"/>
    </row>
    <row r="86" spans="1:45" ht="15" customHeight="1" x14ac:dyDescent="0.25">
      <c r="A86" s="11"/>
      <c r="B86" s="225"/>
      <c r="C86" s="15"/>
      <c r="D86" s="15"/>
      <c r="E86" s="260" t="s">
        <v>25</v>
      </c>
      <c r="F86" s="282">
        <f>IF(F79="Option A",Equations!F139,Equations!G139)</f>
        <v>100</v>
      </c>
      <c r="G86" s="129" t="s">
        <v>66</v>
      </c>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64"/>
      <c r="AN86" s="268"/>
      <c r="AO86" s="268"/>
      <c r="AP86" s="268"/>
      <c r="AQ86" s="268"/>
      <c r="AR86" s="268"/>
      <c r="AS86" s="268"/>
    </row>
    <row r="87" spans="1:45" ht="15" customHeight="1" x14ac:dyDescent="0.25">
      <c r="A87" s="11"/>
      <c r="B87" s="56"/>
      <c r="C87" s="15"/>
      <c r="D87" s="15"/>
      <c r="E87" s="70" t="s">
        <v>26</v>
      </c>
      <c r="F87" s="282">
        <f>IF(F79="Option A",Equations!F140,Equations!G140)</f>
        <v>1.6483516483516485</v>
      </c>
      <c r="G87" s="128" t="s">
        <v>66</v>
      </c>
      <c r="H87" s="15"/>
      <c r="I87" s="15"/>
      <c r="J87" s="67"/>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64"/>
      <c r="AN87" s="268"/>
      <c r="AO87" s="268"/>
      <c r="AP87" s="268"/>
      <c r="AQ87" s="268"/>
      <c r="AR87" s="268"/>
      <c r="AS87" s="268"/>
    </row>
    <row r="88" spans="1:45" ht="15" customHeight="1" x14ac:dyDescent="0.25">
      <c r="A88" s="11"/>
      <c r="B88" s="56"/>
      <c r="C88" s="15"/>
      <c r="D88" s="15"/>
      <c r="E88" s="37" t="s">
        <v>76</v>
      </c>
      <c r="F88" s="147">
        <v>100</v>
      </c>
      <c r="G88" s="129" t="s">
        <v>66</v>
      </c>
      <c r="H88" s="15"/>
      <c r="I88" s="15"/>
      <c r="J88" s="67"/>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64"/>
      <c r="AN88" s="268"/>
      <c r="AO88" s="268"/>
      <c r="AP88" s="268"/>
      <c r="AQ88" s="268"/>
      <c r="AR88" s="268"/>
      <c r="AS88" s="268"/>
    </row>
    <row r="89" spans="1:45" ht="15" customHeight="1" x14ac:dyDescent="0.25">
      <c r="A89" s="11"/>
      <c r="B89" s="56"/>
      <c r="C89" s="15"/>
      <c r="D89" s="15"/>
      <c r="E89" s="37" t="s">
        <v>77</v>
      </c>
      <c r="F89" s="147">
        <v>11.5</v>
      </c>
      <c r="G89" s="129" t="s">
        <v>66</v>
      </c>
      <c r="H89" s="15"/>
      <c r="I89" s="15"/>
      <c r="J89" s="67"/>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64"/>
      <c r="AN89" s="268"/>
      <c r="AO89" s="268"/>
      <c r="AP89" s="268"/>
      <c r="AQ89" s="268"/>
      <c r="AR89" s="268"/>
      <c r="AS89" s="268"/>
    </row>
    <row r="90" spans="1:45" ht="15" customHeight="1" x14ac:dyDescent="0.25">
      <c r="A90" s="11"/>
      <c r="B90" s="56"/>
      <c r="C90" s="15"/>
      <c r="D90" s="15"/>
      <c r="E90" s="37" t="s">
        <v>78</v>
      </c>
      <c r="F90" s="147">
        <v>100</v>
      </c>
      <c r="G90" s="129" t="s">
        <v>66</v>
      </c>
      <c r="H90" s="15"/>
      <c r="I90" s="15"/>
      <c r="J90" s="67"/>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64"/>
      <c r="AN90" s="268"/>
      <c r="AO90" s="268"/>
      <c r="AP90" s="268"/>
      <c r="AQ90" s="268"/>
      <c r="AR90" s="268"/>
      <c r="AS90" s="268"/>
    </row>
    <row r="91" spans="1:45" ht="15" customHeight="1" x14ac:dyDescent="0.25">
      <c r="A91" s="11"/>
      <c r="B91" s="56"/>
      <c r="C91" s="15"/>
      <c r="D91" s="15"/>
      <c r="E91" s="37" t="s">
        <v>79</v>
      </c>
      <c r="F91" s="97">
        <v>1.65</v>
      </c>
      <c r="G91" s="129" t="s">
        <v>66</v>
      </c>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64"/>
      <c r="AN91" s="268"/>
      <c r="AO91" s="268"/>
      <c r="AP91" s="268"/>
      <c r="AQ91" s="268"/>
      <c r="AR91" s="268"/>
      <c r="AS91" s="268"/>
    </row>
    <row r="92" spans="1:45" ht="15" customHeight="1" x14ac:dyDescent="0.25">
      <c r="A92" s="11"/>
      <c r="B92" s="56"/>
      <c r="C92" s="15"/>
      <c r="D92" s="15"/>
      <c r="E92" s="15"/>
      <c r="F92" s="15"/>
      <c r="G92" s="130"/>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64"/>
      <c r="AN92" s="268"/>
      <c r="AO92" s="268"/>
      <c r="AP92" s="268"/>
      <c r="AQ92" s="268"/>
      <c r="AR92" s="268"/>
      <c r="AS92" s="268"/>
    </row>
    <row r="93" spans="1:45" ht="15" customHeight="1" x14ac:dyDescent="0.25">
      <c r="A93" s="11"/>
      <c r="B93" s="56"/>
      <c r="C93" s="27"/>
      <c r="D93" s="66"/>
      <c r="E93" s="65" t="s">
        <v>35</v>
      </c>
      <c r="F93" s="66"/>
      <c r="G93" s="130"/>
      <c r="H93" s="71"/>
      <c r="I93" s="71"/>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64"/>
      <c r="AN93" s="268"/>
      <c r="AO93" s="268"/>
      <c r="AP93" s="268"/>
      <c r="AQ93" s="268"/>
      <c r="AR93" s="268"/>
      <c r="AS93" s="268"/>
    </row>
    <row r="94" spans="1:45" ht="15" customHeight="1" x14ac:dyDescent="0.25">
      <c r="A94" s="11"/>
      <c r="B94" s="56"/>
      <c r="C94" s="27"/>
      <c r="D94" s="234"/>
      <c r="E94" s="221" t="s">
        <v>466</v>
      </c>
      <c r="F94" s="279">
        <f>IF(F79="Option A",Equations!F142,Equations!H142)</f>
        <v>5.3326086956521745</v>
      </c>
      <c r="G94" s="128" t="s">
        <v>68</v>
      </c>
      <c r="H94" s="71"/>
      <c r="I94" s="71"/>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64"/>
      <c r="AN94" s="268"/>
      <c r="AO94" s="268"/>
      <c r="AP94" s="268"/>
      <c r="AQ94" s="268"/>
      <c r="AR94" s="268"/>
      <c r="AS94" s="268"/>
    </row>
    <row r="95" spans="1:45" ht="15" customHeight="1" x14ac:dyDescent="0.25">
      <c r="A95" s="11"/>
      <c r="B95" s="56"/>
      <c r="C95" s="27"/>
      <c r="D95" s="310" t="s">
        <v>465</v>
      </c>
      <c r="E95" s="311"/>
      <c r="F95" s="279">
        <f>IF(F79="Option A",Equations!G142,Equations!I142)</f>
        <v>5.8173913043478249</v>
      </c>
      <c r="G95" s="128" t="s">
        <v>68</v>
      </c>
      <c r="H95" s="71"/>
      <c r="I95" s="71"/>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64"/>
      <c r="AN95" s="268"/>
      <c r="AO95" s="268"/>
      <c r="AP95" s="268"/>
      <c r="AQ95" s="268"/>
      <c r="AR95" s="268"/>
      <c r="AS95" s="268"/>
    </row>
    <row r="96" spans="1:45" ht="15" customHeight="1" x14ac:dyDescent="0.25">
      <c r="A96" s="11"/>
      <c r="B96" s="56"/>
      <c r="C96" s="27"/>
      <c r="D96" s="310" t="s">
        <v>468</v>
      </c>
      <c r="E96" s="311"/>
      <c r="F96" s="279">
        <f>IF(F79="Option A",Equations!G143,Equations!I143)</f>
        <v>33.88333333333334</v>
      </c>
      <c r="G96" s="128" t="s">
        <v>68</v>
      </c>
      <c r="H96" s="71"/>
      <c r="I96" s="71"/>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64"/>
      <c r="AN96" s="268"/>
      <c r="AO96" s="268"/>
      <c r="AP96" s="268"/>
      <c r="AQ96" s="268"/>
      <c r="AR96" s="268"/>
      <c r="AS96" s="268"/>
    </row>
    <row r="97" spans="1:45" ht="15" customHeight="1" x14ac:dyDescent="0.25">
      <c r="A97" s="11"/>
      <c r="B97" s="56"/>
      <c r="C97" s="28"/>
      <c r="D97" s="234"/>
      <c r="E97" s="221" t="s">
        <v>467</v>
      </c>
      <c r="F97" s="279">
        <f>IF(F79="Option A",Equations!F143,Equations!H143)</f>
        <v>36.963636363636368</v>
      </c>
      <c r="G97" s="128" t="s">
        <v>68</v>
      </c>
      <c r="H97" s="71"/>
      <c r="I97" s="71"/>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64"/>
      <c r="AN97" s="268"/>
      <c r="AO97" s="268"/>
      <c r="AP97" s="268"/>
      <c r="AQ97" s="268"/>
      <c r="AR97" s="268"/>
      <c r="AS97" s="268"/>
    </row>
    <row r="98" spans="1:45" ht="15" customHeight="1" x14ac:dyDescent="0.25">
      <c r="A98" s="11"/>
      <c r="B98" s="56"/>
      <c r="D98" s="258"/>
      <c r="E98" s="258"/>
      <c r="F98" s="27"/>
      <c r="G98" s="128"/>
      <c r="H98" s="71"/>
      <c r="I98" s="71"/>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64"/>
      <c r="AN98" s="268"/>
      <c r="AO98" s="268"/>
      <c r="AP98" s="268"/>
      <c r="AQ98" s="268"/>
      <c r="AR98" s="268"/>
      <c r="AS98" s="268"/>
    </row>
    <row r="99" spans="1:45" ht="15" customHeight="1" x14ac:dyDescent="0.25">
      <c r="A99" s="11"/>
      <c r="B99" s="56"/>
      <c r="C99" s="67" t="s">
        <v>452</v>
      </c>
      <c r="D99" s="2"/>
      <c r="E99" s="2"/>
      <c r="G99" s="128"/>
      <c r="H99" s="71"/>
      <c r="I99" s="71"/>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64"/>
      <c r="AN99" s="268"/>
      <c r="AO99" s="268"/>
      <c r="AP99" s="268"/>
      <c r="AQ99" s="268"/>
      <c r="AR99" s="268"/>
      <c r="AS99" s="268"/>
    </row>
    <row r="100" spans="1:45" ht="15" customHeight="1" x14ac:dyDescent="0.25">
      <c r="A100" s="11"/>
      <c r="B100" s="56"/>
      <c r="D100" s="71"/>
      <c r="E100" s="71"/>
      <c r="F100" s="71"/>
      <c r="G100" s="254"/>
      <c r="H100" s="71"/>
      <c r="I100" s="71"/>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64"/>
      <c r="AN100" s="268"/>
      <c r="AO100" s="268"/>
      <c r="AP100" s="268"/>
      <c r="AQ100" s="268"/>
      <c r="AR100" s="268"/>
      <c r="AS100" s="268"/>
    </row>
    <row r="101" spans="1:45" ht="15" customHeight="1" x14ac:dyDescent="0.25">
      <c r="A101" s="11"/>
      <c r="B101" s="55"/>
      <c r="C101" s="15"/>
      <c r="D101" s="71"/>
      <c r="E101" s="27"/>
      <c r="F101" s="27"/>
      <c r="G101" s="255"/>
      <c r="H101" s="15"/>
      <c r="I101" s="9"/>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64"/>
      <c r="AN101" s="268"/>
      <c r="AO101" s="268"/>
      <c r="AP101" s="268"/>
      <c r="AQ101" s="268"/>
      <c r="AR101" s="268"/>
      <c r="AS101" s="268"/>
    </row>
    <row r="102" spans="1:45" ht="15" customHeight="1" x14ac:dyDescent="0.25">
      <c r="A102" s="11"/>
      <c r="B102" s="56"/>
      <c r="C102" s="15"/>
      <c r="D102" s="71"/>
      <c r="E102" s="27"/>
      <c r="F102" s="27"/>
      <c r="G102" s="25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64"/>
      <c r="AN102" s="268"/>
      <c r="AO102" s="268"/>
      <c r="AP102" s="268"/>
      <c r="AQ102" s="268"/>
      <c r="AR102" s="268"/>
      <c r="AS102" s="268"/>
    </row>
    <row r="103" spans="1:45" ht="15" customHeight="1" thickBot="1" x14ac:dyDescent="0.3">
      <c r="A103" s="11"/>
      <c r="B103" s="56"/>
      <c r="C103" s="58"/>
      <c r="D103" s="256"/>
      <c r="E103" s="27"/>
      <c r="F103" s="27"/>
      <c r="G103" s="257"/>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68"/>
      <c r="AN103" s="268"/>
      <c r="AO103" s="268"/>
      <c r="AP103" s="268"/>
      <c r="AQ103" s="268"/>
      <c r="AR103" s="268"/>
      <c r="AS103" s="268"/>
    </row>
    <row r="104" spans="1:45" ht="16.2" customHeight="1" x14ac:dyDescent="0.25">
      <c r="A104" s="11"/>
      <c r="B104" s="98" t="s">
        <v>172</v>
      </c>
      <c r="C104" s="53"/>
      <c r="D104" s="53"/>
      <c r="E104" s="81" t="s">
        <v>409</v>
      </c>
      <c r="F104" s="283">
        <f>Rs</f>
        <v>1</v>
      </c>
      <c r="G104" s="131" t="s">
        <v>67</v>
      </c>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79"/>
      <c r="AN104" s="268"/>
      <c r="AO104" s="268"/>
      <c r="AP104" s="268"/>
      <c r="AQ104" s="268"/>
      <c r="AR104" s="268"/>
      <c r="AS104" s="268"/>
    </row>
    <row r="105" spans="1:45" ht="15" customHeight="1" x14ac:dyDescent="0.25">
      <c r="A105" s="11"/>
      <c r="B105" s="55"/>
      <c r="C105" s="15"/>
      <c r="D105" s="15"/>
      <c r="E105" s="69" t="s">
        <v>410</v>
      </c>
      <c r="F105" s="284">
        <f>F29</f>
        <v>50</v>
      </c>
      <c r="G105" s="132" t="s">
        <v>69</v>
      </c>
      <c r="H105" s="15"/>
      <c r="I105" s="15"/>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99"/>
      <c r="AN105" s="268"/>
      <c r="AO105" s="268"/>
      <c r="AP105" s="268"/>
      <c r="AQ105" s="268"/>
      <c r="AR105" s="268"/>
      <c r="AS105" s="268"/>
    </row>
    <row r="106" spans="1:45" ht="14.25" customHeight="1" x14ac:dyDescent="0.25">
      <c r="A106" s="11"/>
      <c r="B106" s="55"/>
      <c r="C106" s="15"/>
      <c r="D106" s="15"/>
      <c r="E106" s="69" t="s">
        <v>411</v>
      </c>
      <c r="F106" s="285">
        <f>F40</f>
        <v>1</v>
      </c>
      <c r="G106" s="134" t="s">
        <v>66</v>
      </c>
      <c r="H106" s="15"/>
      <c r="I106" s="15"/>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99"/>
      <c r="AN106" s="268"/>
      <c r="AO106" s="268"/>
      <c r="AP106" s="268"/>
      <c r="AQ106" s="268"/>
      <c r="AR106" s="268"/>
      <c r="AS106" s="268"/>
    </row>
    <row r="107" spans="1:45" ht="15" customHeight="1" x14ac:dyDescent="0.25">
      <c r="A107" s="11"/>
      <c r="B107" s="56"/>
      <c r="C107" s="15"/>
      <c r="D107" s="15"/>
      <c r="E107" s="36" t="s">
        <v>19</v>
      </c>
      <c r="F107" s="279">
        <f>F42</f>
        <v>68</v>
      </c>
      <c r="G107" s="134" t="s">
        <v>85</v>
      </c>
      <c r="H107" s="15"/>
      <c r="I107" s="27"/>
      <c r="J107" s="27"/>
      <c r="K107" s="27"/>
      <c r="L107" s="27"/>
      <c r="M107" s="66"/>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64"/>
      <c r="AN107" s="268"/>
      <c r="AO107" s="268"/>
      <c r="AP107" s="268"/>
      <c r="AQ107" s="268"/>
      <c r="AR107" s="268"/>
      <c r="AS107" s="268"/>
    </row>
    <row r="108" spans="1:45" ht="15" customHeight="1" x14ac:dyDescent="0.25">
      <c r="A108" s="11"/>
      <c r="B108" s="56"/>
      <c r="C108" s="15"/>
      <c r="D108" s="15"/>
      <c r="E108" s="36" t="s">
        <v>13</v>
      </c>
      <c r="F108" s="286">
        <f>F88</f>
        <v>100</v>
      </c>
      <c r="G108" s="133" t="s">
        <v>66</v>
      </c>
      <c r="H108" s="15"/>
      <c r="I108" s="27"/>
      <c r="J108" s="27"/>
      <c r="K108" s="27"/>
      <c r="L108" s="27"/>
      <c r="M108" s="174"/>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64"/>
      <c r="AN108" s="268"/>
      <c r="AO108" s="268"/>
      <c r="AP108" s="268"/>
      <c r="AQ108" s="268"/>
      <c r="AR108" s="268"/>
      <c r="AS108" s="268"/>
    </row>
    <row r="109" spans="1:45" ht="15" customHeight="1" x14ac:dyDescent="0.25">
      <c r="A109" s="11"/>
      <c r="B109" s="56"/>
      <c r="C109" s="15"/>
      <c r="D109" s="15"/>
      <c r="E109" s="36" t="s">
        <v>14</v>
      </c>
      <c r="F109" s="286">
        <f>F89</f>
        <v>11.5</v>
      </c>
      <c r="G109" s="133" t="s">
        <v>66</v>
      </c>
      <c r="H109" s="15"/>
      <c r="I109" s="27"/>
      <c r="J109" s="27"/>
      <c r="K109" s="27"/>
      <c r="L109" s="27"/>
      <c r="M109" s="17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64"/>
      <c r="AN109" s="268"/>
      <c r="AO109" s="268"/>
      <c r="AP109" s="268"/>
      <c r="AQ109" s="268"/>
      <c r="AR109" s="268"/>
      <c r="AS109" s="268"/>
    </row>
    <row r="110" spans="1:45" ht="15" customHeight="1" x14ac:dyDescent="0.25">
      <c r="A110" s="11"/>
      <c r="B110" s="56"/>
      <c r="C110" s="15"/>
      <c r="D110" s="15"/>
      <c r="E110" s="36" t="s">
        <v>15</v>
      </c>
      <c r="F110" s="286">
        <f>F90</f>
        <v>100</v>
      </c>
      <c r="G110" s="133" t="s">
        <v>66</v>
      </c>
      <c r="H110" s="15"/>
      <c r="I110" s="27"/>
      <c r="J110" s="27"/>
      <c r="K110" s="27"/>
      <c r="L110" s="27"/>
      <c r="M110" s="174"/>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64"/>
      <c r="AN110" s="268"/>
      <c r="AO110" s="268"/>
      <c r="AP110" s="268"/>
      <c r="AQ110" s="268"/>
      <c r="AR110" s="268"/>
      <c r="AS110" s="268"/>
    </row>
    <row r="111" spans="1:45" ht="15" customHeight="1" x14ac:dyDescent="0.25">
      <c r="A111" s="11"/>
      <c r="B111" s="56"/>
      <c r="C111" s="15"/>
      <c r="D111" s="15"/>
      <c r="E111" s="36" t="s">
        <v>16</v>
      </c>
      <c r="F111" s="287">
        <f>IF(F79="Option A","N/A",F91)</f>
        <v>1.65</v>
      </c>
      <c r="G111" s="133" t="s">
        <v>66</v>
      </c>
      <c r="H111" s="15"/>
      <c r="I111" s="27"/>
      <c r="J111" s="27"/>
      <c r="K111" s="27"/>
      <c r="L111" s="27"/>
      <c r="M111" s="176"/>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64"/>
      <c r="AN111" s="268"/>
      <c r="AO111" s="268"/>
      <c r="AP111" s="268"/>
      <c r="AQ111" s="268"/>
      <c r="AR111" s="268"/>
      <c r="AS111" s="268"/>
    </row>
    <row r="112" spans="1:45" ht="15" customHeight="1" x14ac:dyDescent="0.25">
      <c r="A112" s="11"/>
      <c r="B112" s="56"/>
      <c r="C112" s="15"/>
      <c r="D112" s="15"/>
      <c r="E112" s="37" t="s">
        <v>412</v>
      </c>
      <c r="F112" s="288">
        <f>F31</f>
        <v>40</v>
      </c>
      <c r="G112" s="133" t="s">
        <v>66</v>
      </c>
      <c r="H112" s="15"/>
      <c r="I112" s="27"/>
      <c r="J112" s="27"/>
      <c r="K112" s="27"/>
      <c r="L112" s="27"/>
      <c r="M112" s="174"/>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64"/>
      <c r="AN112" s="268"/>
      <c r="AO112" s="268"/>
      <c r="AP112" s="268"/>
      <c r="AQ112" s="268"/>
      <c r="AR112" s="268"/>
      <c r="AS112" s="268"/>
    </row>
    <row r="113" spans="1:45" ht="15" customHeight="1" x14ac:dyDescent="0.25">
      <c r="A113" s="11"/>
      <c r="B113" s="56"/>
      <c r="C113" s="15"/>
      <c r="D113" s="15"/>
      <c r="E113" s="37" t="s">
        <v>413</v>
      </c>
      <c r="F113" s="289">
        <f>F37</f>
        <v>10</v>
      </c>
      <c r="G113" s="133" t="s">
        <v>66</v>
      </c>
      <c r="H113" s="15"/>
      <c r="I113" s="27"/>
      <c r="J113" s="27"/>
      <c r="K113" s="27"/>
      <c r="L113" s="27"/>
      <c r="M113" s="177"/>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64"/>
      <c r="AN113" s="268"/>
      <c r="AO113" s="268"/>
      <c r="AP113" s="268"/>
      <c r="AQ113" s="268"/>
      <c r="AR113" s="268"/>
      <c r="AS113" s="268"/>
    </row>
    <row r="114" spans="1:45" ht="15" customHeight="1" x14ac:dyDescent="0.25">
      <c r="A114" s="11"/>
      <c r="B114" s="56"/>
      <c r="C114" s="15"/>
      <c r="D114" s="15"/>
      <c r="E114" s="36" t="s">
        <v>36</v>
      </c>
      <c r="F114" s="290">
        <v>0.01</v>
      </c>
      <c r="G114" s="133" t="s">
        <v>65</v>
      </c>
      <c r="H114" s="15"/>
      <c r="I114" s="27"/>
      <c r="J114" s="27"/>
      <c r="K114" s="27"/>
      <c r="L114" s="27"/>
      <c r="M114" s="177"/>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64"/>
      <c r="AN114" s="268"/>
      <c r="AO114" s="268"/>
      <c r="AP114" s="268"/>
      <c r="AQ114" s="268"/>
      <c r="AR114" s="268"/>
      <c r="AS114" s="268"/>
    </row>
    <row r="115" spans="1:45" ht="15" customHeight="1" x14ac:dyDescent="0.25">
      <c r="A115" s="11"/>
      <c r="B115" s="56"/>
      <c r="C115" s="15"/>
      <c r="D115" s="15"/>
      <c r="E115" s="37" t="s">
        <v>456</v>
      </c>
      <c r="F115" s="290">
        <f>F18</f>
        <v>100</v>
      </c>
      <c r="G115" s="133" t="s">
        <v>65</v>
      </c>
      <c r="H115" s="15"/>
      <c r="I115" s="27"/>
      <c r="J115" s="27"/>
      <c r="K115" s="27"/>
      <c r="L115" s="27"/>
      <c r="M115" s="177"/>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64"/>
      <c r="AN115" s="268"/>
      <c r="AO115" s="268"/>
      <c r="AP115" s="268"/>
      <c r="AQ115" s="268"/>
      <c r="AR115" s="268"/>
      <c r="AS115" s="268"/>
    </row>
    <row r="116" spans="1:45" ht="15" customHeight="1" x14ac:dyDescent="0.25">
      <c r="A116" s="11"/>
      <c r="B116" s="56"/>
      <c r="C116" s="15"/>
      <c r="D116" s="15"/>
      <c r="E116" s="37" t="s">
        <v>378</v>
      </c>
      <c r="F116" s="291">
        <f>IF(F68="YES", F71, "DNP")</f>
        <v>10</v>
      </c>
      <c r="G116" s="134" t="s">
        <v>85</v>
      </c>
      <c r="H116" s="15"/>
      <c r="I116" s="27"/>
      <c r="J116" s="27"/>
      <c r="K116" s="27"/>
      <c r="L116" s="27"/>
      <c r="M116" s="177"/>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64"/>
      <c r="AN116" s="268"/>
      <c r="AO116" s="268"/>
      <c r="AP116" s="268"/>
      <c r="AQ116" s="268"/>
      <c r="AR116" s="268"/>
      <c r="AS116" s="268"/>
    </row>
    <row r="117" spans="1:45" ht="15" customHeight="1" x14ac:dyDescent="0.25">
      <c r="A117" s="11"/>
      <c r="B117" s="56"/>
      <c r="C117" s="15"/>
      <c r="D117" s="15"/>
      <c r="E117" s="218" t="s">
        <v>379</v>
      </c>
      <c r="F117" s="292" t="str">
        <f>F47</f>
        <v>BUK7Y4R8-60E</v>
      </c>
      <c r="G117" s="134"/>
      <c r="H117" s="15"/>
      <c r="I117" s="27"/>
      <c r="J117" s="27"/>
      <c r="K117" s="27"/>
      <c r="L117" s="27"/>
      <c r="M117" s="177"/>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64"/>
      <c r="AN117" s="268"/>
      <c r="AO117" s="268"/>
      <c r="AP117" s="268"/>
      <c r="AQ117" s="268"/>
      <c r="AR117" s="268"/>
      <c r="AS117" s="268"/>
    </row>
    <row r="118" spans="1:45" ht="15" customHeight="1" x14ac:dyDescent="0.25">
      <c r="A118" s="11"/>
      <c r="B118" s="56"/>
      <c r="C118" s="15"/>
      <c r="D118" s="15"/>
      <c r="E118" s="220" t="s">
        <v>380</v>
      </c>
      <c r="F118" s="292" t="str">
        <f>F47</f>
        <v>BUK7Y4R8-60E</v>
      </c>
      <c r="G118" s="134"/>
      <c r="H118" s="15"/>
      <c r="I118" s="27"/>
      <c r="J118" s="27"/>
      <c r="K118" s="27"/>
      <c r="L118" s="27"/>
      <c r="M118" s="177"/>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64"/>
      <c r="AN118" s="268"/>
      <c r="AO118" s="268"/>
      <c r="AP118" s="268"/>
      <c r="AQ118" s="268"/>
      <c r="AR118" s="268"/>
      <c r="AS118" s="268"/>
    </row>
    <row r="119" spans="1:45" ht="15" customHeight="1" x14ac:dyDescent="0.25">
      <c r="A119" s="11"/>
      <c r="B119" s="56"/>
      <c r="C119" s="15"/>
      <c r="D119" s="15"/>
      <c r="E119" s="219" t="s">
        <v>381</v>
      </c>
      <c r="F119" s="292" t="s">
        <v>480</v>
      </c>
      <c r="G119" s="134"/>
      <c r="H119" s="15"/>
      <c r="I119" s="27"/>
      <c r="J119" s="27"/>
      <c r="K119" s="27"/>
      <c r="L119" s="27"/>
      <c r="M119" s="177"/>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64"/>
      <c r="AN119" s="268"/>
      <c r="AO119" s="268"/>
      <c r="AP119" s="268"/>
      <c r="AQ119" s="268"/>
      <c r="AR119" s="268"/>
      <c r="AS119" s="268"/>
    </row>
    <row r="120" spans="1:45" ht="15" customHeight="1" x14ac:dyDescent="0.25">
      <c r="A120" s="11"/>
      <c r="B120" s="56"/>
      <c r="C120" s="15"/>
      <c r="D120" s="15"/>
      <c r="E120" s="220"/>
      <c r="F120" s="134"/>
      <c r="G120" s="134"/>
      <c r="H120" s="15"/>
      <c r="I120" s="27"/>
      <c r="J120" s="27"/>
      <c r="K120" s="27"/>
      <c r="L120" s="27"/>
      <c r="M120" s="13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64"/>
      <c r="AN120" s="268"/>
      <c r="AO120" s="268"/>
      <c r="AP120" s="268"/>
      <c r="AQ120" s="268"/>
      <c r="AR120" s="268"/>
      <c r="AS120" s="268"/>
    </row>
    <row r="121" spans="1:45" ht="15" customHeight="1" x14ac:dyDescent="0.25">
      <c r="A121" s="11"/>
      <c r="B121" s="56"/>
      <c r="C121" s="15"/>
      <c r="D121" s="15"/>
      <c r="E121" s="37"/>
      <c r="F121" s="84"/>
      <c r="G121" s="134"/>
      <c r="H121" s="15"/>
      <c r="I121" s="27"/>
      <c r="J121" s="27"/>
      <c r="K121" s="27"/>
      <c r="L121" s="27"/>
      <c r="M121" s="13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64"/>
      <c r="AN121" s="268"/>
      <c r="AO121" s="268"/>
      <c r="AP121" s="268"/>
      <c r="AQ121" s="268"/>
      <c r="AR121" s="268"/>
      <c r="AS121" s="268"/>
    </row>
    <row r="122" spans="1:45" ht="15" customHeight="1" x14ac:dyDescent="0.25">
      <c r="A122" s="11"/>
      <c r="B122" s="56"/>
      <c r="C122" s="15"/>
      <c r="D122" s="15"/>
      <c r="E122" s="11"/>
      <c r="F122" s="27"/>
      <c r="G122" s="136"/>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64"/>
      <c r="AN122" s="269"/>
      <c r="AO122" s="268"/>
      <c r="AP122" s="268"/>
      <c r="AQ122" s="268"/>
      <c r="AR122" s="268"/>
      <c r="AS122" s="268"/>
    </row>
    <row r="123" spans="1:45" ht="15.6" x14ac:dyDescent="0.35">
      <c r="A123" s="11"/>
      <c r="B123" s="217" t="s">
        <v>20</v>
      </c>
      <c r="C123" s="26" t="s">
        <v>72</v>
      </c>
      <c r="D123" s="14"/>
      <c r="E123" s="11"/>
      <c r="F123" s="27"/>
      <c r="G123" s="136"/>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64"/>
      <c r="AN123" s="269"/>
      <c r="AO123" s="268"/>
      <c r="AP123" s="268"/>
      <c r="AQ123" s="268"/>
      <c r="AR123" s="268"/>
      <c r="AS123" s="268"/>
    </row>
    <row r="124" spans="1:45" x14ac:dyDescent="0.25">
      <c r="A124" s="11"/>
      <c r="B124" s="56"/>
      <c r="C124" s="26" t="s">
        <v>80</v>
      </c>
      <c r="D124" s="15"/>
      <c r="E124" s="11"/>
      <c r="F124" s="27"/>
      <c r="G124" s="136"/>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64"/>
      <c r="AN124" s="268"/>
      <c r="AO124" s="268"/>
      <c r="AP124" s="268"/>
      <c r="AQ124" s="268"/>
      <c r="AR124" s="268"/>
      <c r="AS124" s="268"/>
    </row>
    <row r="125" spans="1:45" x14ac:dyDescent="0.25">
      <c r="A125" s="11"/>
      <c r="B125" s="56"/>
      <c r="C125" s="26" t="s">
        <v>457</v>
      </c>
      <c r="D125" s="15"/>
      <c r="E125" s="11"/>
      <c r="F125" s="27"/>
      <c r="G125" s="136"/>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64"/>
      <c r="AN125" s="268"/>
      <c r="AO125" s="268"/>
      <c r="AP125" s="268"/>
      <c r="AQ125" s="268"/>
      <c r="AR125" s="268"/>
      <c r="AS125" s="268"/>
    </row>
    <row r="126" spans="1:45" ht="13.8" thickBot="1" x14ac:dyDescent="0.3">
      <c r="A126" s="11"/>
      <c r="B126" s="57"/>
      <c r="C126" s="58"/>
      <c r="D126" s="58"/>
      <c r="E126" s="58"/>
      <c r="F126" s="58"/>
      <c r="G126" s="235"/>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68"/>
      <c r="AN126" s="268"/>
      <c r="AO126" s="268"/>
      <c r="AP126" s="268"/>
      <c r="AQ126" s="268"/>
      <c r="AR126" s="268"/>
      <c r="AS126" s="268"/>
    </row>
    <row r="127" spans="1:45" x14ac:dyDescent="0.25">
      <c r="A127" s="11"/>
      <c r="B127" s="11"/>
      <c r="C127" s="11"/>
      <c r="D127" s="11"/>
      <c r="E127" s="11"/>
      <c r="F127" s="27"/>
      <c r="G127" s="136"/>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row>
    <row r="128" spans="1:45" ht="13.8" x14ac:dyDescent="0.25">
      <c r="A128" s="11"/>
      <c r="B128" s="34"/>
      <c r="C128" s="11"/>
      <c r="D128" s="11"/>
      <c r="E128" s="11"/>
      <c r="F128" s="27"/>
      <c r="G128" s="136"/>
      <c r="H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row>
    <row r="129" spans="1:39" x14ac:dyDescent="0.25">
      <c r="A129" s="11"/>
      <c r="B129" s="11"/>
      <c r="C129" s="11"/>
      <c r="D129" s="11"/>
      <c r="E129" s="11"/>
      <c r="F129" s="27"/>
      <c r="G129" s="12"/>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row>
    <row r="130" spans="1:39" x14ac:dyDescent="0.25">
      <c r="A130" s="11"/>
      <c r="B130" s="11"/>
      <c r="C130" s="11"/>
      <c r="D130" s="11"/>
      <c r="E130" s="11"/>
      <c r="F130" s="27"/>
      <c r="G130" s="136"/>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row>
    <row r="131" spans="1:39" x14ac:dyDescent="0.25">
      <c r="A131" s="11"/>
      <c r="B131" s="11"/>
      <c r="C131" s="11"/>
      <c r="D131" s="11"/>
      <c r="E131" s="11"/>
      <c r="F131" s="27"/>
      <c r="G131" s="136"/>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row>
    <row r="132" spans="1:39" x14ac:dyDescent="0.25">
      <c r="A132" s="11"/>
      <c r="B132" s="11"/>
      <c r="C132" s="11"/>
      <c r="D132" s="11"/>
      <c r="E132" s="11"/>
      <c r="F132" s="27"/>
      <c r="G132" s="136"/>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row>
    <row r="133" spans="1:39" x14ac:dyDescent="0.25">
      <c r="A133" s="11"/>
      <c r="B133" s="11"/>
      <c r="C133" s="11"/>
      <c r="D133" s="11"/>
      <c r="E133" s="11"/>
      <c r="F133" s="11"/>
      <c r="G133" s="136"/>
      <c r="H133" s="27"/>
      <c r="I133" s="27"/>
      <c r="J133" s="27"/>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row>
    <row r="134" spans="1:39" x14ac:dyDescent="0.25">
      <c r="A134" s="11"/>
      <c r="B134" s="11"/>
      <c r="C134" s="11"/>
      <c r="D134" s="11"/>
      <c r="E134" s="11"/>
      <c r="F134" s="11"/>
      <c r="G134" s="136"/>
      <c r="H134" s="27"/>
      <c r="I134" s="27"/>
      <c r="J134" s="27"/>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row>
    <row r="135" spans="1:39" x14ac:dyDescent="0.25">
      <c r="A135" s="11"/>
      <c r="B135" s="11"/>
      <c r="C135" s="11"/>
      <c r="D135" s="11"/>
      <c r="E135" s="11"/>
      <c r="F135" s="11"/>
      <c r="G135" s="136"/>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row>
    <row r="136" spans="1:39" x14ac:dyDescent="0.25">
      <c r="A136" s="11"/>
      <c r="B136" s="11"/>
      <c r="C136" s="11"/>
      <c r="D136" s="11"/>
      <c r="E136" s="11"/>
      <c r="F136" s="11"/>
      <c r="G136" s="12"/>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row>
    <row r="137" spans="1:39" x14ac:dyDescent="0.25">
      <c r="A137" s="11"/>
      <c r="B137" s="11"/>
      <c r="C137" s="11"/>
      <c r="D137" s="11"/>
      <c r="E137" s="11"/>
      <c r="F137" s="11"/>
      <c r="G137" s="12"/>
      <c r="H137" s="27"/>
      <c r="I137" s="27"/>
      <c r="J137" s="27"/>
      <c r="K137" s="27"/>
      <c r="L137" s="27"/>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row>
    <row r="138" spans="1:39" x14ac:dyDescent="0.25">
      <c r="A138" s="11"/>
      <c r="B138" s="11"/>
      <c r="C138" s="11"/>
      <c r="D138" s="11"/>
      <c r="E138" s="11"/>
      <c r="F138" s="11"/>
      <c r="G138" s="12"/>
      <c r="H138" s="27"/>
      <c r="I138" s="27"/>
      <c r="J138" s="27"/>
      <c r="K138" s="27"/>
      <c r="L138" s="27"/>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row>
    <row r="139" spans="1:39" x14ac:dyDescent="0.25">
      <c r="A139" s="11"/>
      <c r="B139" s="11"/>
      <c r="C139" s="11"/>
      <c r="D139" s="11"/>
      <c r="E139" s="11"/>
      <c r="F139" s="11"/>
      <c r="G139" s="12"/>
      <c r="H139" s="27"/>
      <c r="I139" s="27"/>
      <c r="J139" s="27"/>
      <c r="K139" s="27"/>
      <c r="L139" s="27"/>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row>
    <row r="140" spans="1:39" x14ac:dyDescent="0.25">
      <c r="A140" s="11"/>
      <c r="B140" s="11"/>
      <c r="C140" s="11"/>
      <c r="D140" s="11"/>
      <c r="E140" s="11"/>
      <c r="F140" s="11"/>
      <c r="G140" s="12"/>
      <c r="H140" s="27"/>
      <c r="I140" s="27"/>
      <c r="J140" s="27"/>
      <c r="K140" s="27"/>
      <c r="L140" s="27"/>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row>
    <row r="141" spans="1:39" x14ac:dyDescent="0.25">
      <c r="A141" s="11"/>
      <c r="B141" s="11"/>
      <c r="C141" s="11"/>
      <c r="D141" s="11"/>
      <c r="E141" s="11"/>
      <c r="F141" s="11"/>
      <c r="G141" s="12"/>
      <c r="H141" s="27"/>
      <c r="I141" s="27"/>
      <c r="J141" s="27"/>
      <c r="K141" s="27"/>
      <c r="L141" s="27"/>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row>
    <row r="142" spans="1:39" x14ac:dyDescent="0.25">
      <c r="A142" s="11"/>
      <c r="B142" s="11"/>
      <c r="C142" s="11"/>
      <c r="D142" s="11"/>
      <c r="E142" s="11"/>
      <c r="F142" s="11"/>
      <c r="G142" s="12"/>
      <c r="H142" s="27"/>
      <c r="I142" s="27"/>
      <c r="J142" s="27"/>
      <c r="K142" s="27"/>
      <c r="L142" s="27"/>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row>
    <row r="143" spans="1:39" x14ac:dyDescent="0.25">
      <c r="A143" s="11"/>
      <c r="B143" s="11"/>
      <c r="C143" s="11"/>
      <c r="D143" s="11"/>
      <c r="E143" s="11"/>
      <c r="F143" s="11"/>
      <c r="G143" s="12"/>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row>
    <row r="144" spans="1:39" x14ac:dyDescent="0.25">
      <c r="A144" s="11"/>
      <c r="B144" s="11"/>
      <c r="C144" s="11"/>
      <c r="D144" s="11"/>
      <c r="E144" s="11"/>
      <c r="F144" s="11"/>
      <c r="G144" s="12"/>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row>
    <row r="145" spans="1:39" x14ac:dyDescent="0.25">
      <c r="A145" s="11"/>
      <c r="B145" s="11"/>
      <c r="C145" s="11"/>
      <c r="D145" s="11"/>
      <c r="E145" s="11"/>
      <c r="F145" s="11"/>
      <c r="G145" s="12"/>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row>
    <row r="146" spans="1:39" x14ac:dyDescent="0.25">
      <c r="A146" s="11"/>
      <c r="B146" s="11"/>
      <c r="C146" s="11"/>
      <c r="D146" s="11"/>
      <c r="E146" s="11"/>
      <c r="F146" s="11"/>
      <c r="G146" s="12"/>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row>
    <row r="147" spans="1:39" x14ac:dyDescent="0.25">
      <c r="A147" s="11"/>
      <c r="B147" s="11"/>
      <c r="C147" s="11"/>
      <c r="D147" s="11"/>
      <c r="E147" s="11"/>
      <c r="F147" s="11"/>
      <c r="G147" s="12"/>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row>
    <row r="148" spans="1:39" x14ac:dyDescent="0.25">
      <c r="A148" s="11"/>
      <c r="B148" s="11"/>
      <c r="C148" s="11"/>
      <c r="D148" s="11"/>
      <c r="E148" s="11"/>
      <c r="F148" s="11"/>
      <c r="G148" s="12"/>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row>
    <row r="149" spans="1:39" x14ac:dyDescent="0.25">
      <c r="A149" s="11"/>
      <c r="B149" s="11"/>
      <c r="C149" s="11"/>
      <c r="D149" s="11"/>
      <c r="E149" s="11"/>
      <c r="F149" s="11"/>
      <c r="G149" s="12"/>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row>
    <row r="150" spans="1:39" x14ac:dyDescent="0.25">
      <c r="A150" s="11"/>
      <c r="B150" s="11"/>
      <c r="C150" s="11"/>
      <c r="D150" s="11"/>
      <c r="E150" s="11"/>
      <c r="F150" s="11"/>
      <c r="G150" s="12"/>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row>
    <row r="151" spans="1:39" x14ac:dyDescent="0.25">
      <c r="A151" s="11"/>
      <c r="B151" s="11"/>
      <c r="C151" s="11"/>
      <c r="D151" s="11"/>
      <c r="E151" s="11"/>
      <c r="F151" s="11"/>
      <c r="G151" s="12"/>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row>
    <row r="152" spans="1:39" x14ac:dyDescent="0.25">
      <c r="A152" s="11"/>
      <c r="B152" s="11"/>
      <c r="C152" s="11"/>
      <c r="D152" s="11"/>
      <c r="E152" s="11"/>
      <c r="F152" s="11"/>
      <c r="G152" s="12"/>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row>
    <row r="153" spans="1:39" x14ac:dyDescent="0.25">
      <c r="A153" s="11"/>
      <c r="B153" s="11"/>
      <c r="C153" s="11"/>
      <c r="D153" s="11"/>
      <c r="E153" s="11"/>
      <c r="F153" s="11"/>
      <c r="G153" s="12"/>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row>
    <row r="154" spans="1:39" ht="13.8" x14ac:dyDescent="0.25">
      <c r="A154" s="11"/>
      <c r="B154" s="35"/>
      <c r="C154" s="11"/>
      <c r="D154" s="11"/>
      <c r="E154" s="11"/>
      <c r="F154" s="11"/>
      <c r="G154" s="12"/>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row>
    <row r="155" spans="1:39" x14ac:dyDescent="0.25">
      <c r="A155" s="11"/>
      <c r="B155" s="11"/>
      <c r="C155" s="11"/>
      <c r="D155" s="11"/>
      <c r="E155" s="11"/>
      <c r="F155" s="11"/>
      <c r="G155" s="12"/>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row>
    <row r="156" spans="1:39" x14ac:dyDescent="0.25">
      <c r="A156" s="11"/>
      <c r="B156" s="11"/>
      <c r="C156" s="11"/>
      <c r="D156" s="11"/>
      <c r="E156" s="11"/>
      <c r="F156" s="11"/>
      <c r="G156" s="12"/>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row>
    <row r="157" spans="1:39" x14ac:dyDescent="0.25">
      <c r="A157" s="11"/>
      <c r="B157" s="11"/>
      <c r="C157" s="11"/>
      <c r="D157" s="11"/>
      <c r="E157" s="11"/>
      <c r="F157" s="11"/>
      <c r="G157" s="12"/>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row>
    <row r="158" spans="1:39" x14ac:dyDescent="0.25">
      <c r="A158" s="11"/>
      <c r="B158" s="11"/>
      <c r="C158" s="11"/>
      <c r="D158" s="11"/>
      <c r="E158" s="11"/>
      <c r="F158" s="11"/>
      <c r="G158" s="12"/>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row>
    <row r="159" spans="1:39" x14ac:dyDescent="0.25">
      <c r="A159" s="11"/>
      <c r="B159" s="11"/>
      <c r="D159" s="11"/>
      <c r="E159" s="11"/>
      <c r="F159" s="11"/>
      <c r="G159" s="12"/>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row>
    <row r="160" spans="1:39" x14ac:dyDescent="0.25">
      <c r="A160" s="11"/>
      <c r="B160" s="11"/>
      <c r="C160" s="11"/>
      <c r="D160" s="11"/>
      <c r="E160" s="11"/>
      <c r="F160" s="11"/>
      <c r="G160" s="12"/>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row>
    <row r="161" spans="1:39" x14ac:dyDescent="0.25">
      <c r="A161" s="11"/>
      <c r="B161" s="11"/>
      <c r="C161" s="11"/>
      <c r="D161" s="11"/>
      <c r="E161" s="11"/>
      <c r="F161" s="11"/>
      <c r="G161" s="12"/>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row>
    <row r="162" spans="1:39" x14ac:dyDescent="0.25">
      <c r="A162" s="11"/>
      <c r="B162" s="11"/>
      <c r="C162" s="11"/>
      <c r="D162" s="11"/>
      <c r="E162" s="11"/>
      <c r="F162" s="11"/>
      <c r="G162" s="12"/>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row>
    <row r="163" spans="1:39" x14ac:dyDescent="0.25">
      <c r="A163" s="11"/>
      <c r="B163" s="11"/>
      <c r="C163" s="11"/>
      <c r="D163" s="11"/>
      <c r="E163" s="11"/>
      <c r="F163" s="11"/>
      <c r="G163" s="12"/>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row>
    <row r="164" spans="1:39" x14ac:dyDescent="0.25">
      <c r="A164" s="11"/>
      <c r="B164" s="11"/>
      <c r="C164" s="11"/>
      <c r="D164" s="11"/>
      <c r="E164" s="11"/>
      <c r="F164" s="11"/>
      <c r="G164" s="12"/>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row>
    <row r="165" spans="1:39" x14ac:dyDescent="0.25">
      <c r="A165" s="11"/>
      <c r="B165" s="11"/>
      <c r="C165" s="11"/>
      <c r="D165" s="11"/>
      <c r="E165" s="11"/>
      <c r="F165" s="11"/>
      <c r="G165" s="12"/>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row>
    <row r="166" spans="1:39" x14ac:dyDescent="0.25">
      <c r="A166" s="11"/>
      <c r="B166" s="11"/>
      <c r="C166" s="11"/>
      <c r="D166" s="11"/>
      <c r="E166" s="11"/>
      <c r="F166" s="11"/>
      <c r="G166" s="12"/>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row>
    <row r="167" spans="1:39" x14ac:dyDescent="0.25">
      <c r="A167" s="11"/>
      <c r="B167" s="11"/>
      <c r="C167" s="11"/>
      <c r="D167" s="11"/>
      <c r="E167" s="11"/>
      <c r="F167" s="11"/>
      <c r="G167" s="12"/>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row>
    <row r="168" spans="1:39" x14ac:dyDescent="0.25">
      <c r="A168" s="11"/>
      <c r="B168" s="11"/>
      <c r="C168" s="11"/>
      <c r="D168" s="11"/>
      <c r="E168" s="11"/>
      <c r="F168" s="11"/>
      <c r="G168" s="12"/>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row>
    <row r="169" spans="1:39" x14ac:dyDescent="0.25">
      <c r="A169" s="11"/>
      <c r="B169" s="11"/>
      <c r="C169" s="11"/>
      <c r="D169" s="11"/>
      <c r="E169" s="11"/>
      <c r="F169" s="11"/>
      <c r="G169" s="12"/>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row>
    <row r="170" spans="1:39" x14ac:dyDescent="0.25">
      <c r="A170" s="11"/>
      <c r="B170" s="11"/>
      <c r="C170" s="11"/>
      <c r="D170" s="11"/>
      <c r="E170" s="11"/>
      <c r="F170" s="11"/>
      <c r="G170" s="12"/>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row>
    <row r="171" spans="1:39" x14ac:dyDescent="0.25">
      <c r="A171" s="11"/>
      <c r="B171" s="11"/>
      <c r="C171" s="11"/>
      <c r="D171" s="11"/>
      <c r="E171" s="11"/>
      <c r="F171" s="11"/>
      <c r="G171" s="12"/>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row>
    <row r="172" spans="1:39" x14ac:dyDescent="0.25">
      <c r="A172" s="11"/>
      <c r="B172" s="11"/>
      <c r="C172" s="11"/>
      <c r="D172" s="11"/>
      <c r="E172" s="11"/>
      <c r="F172" s="11"/>
      <c r="G172" s="12"/>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row>
    <row r="173" spans="1:39" x14ac:dyDescent="0.25">
      <c r="A173" s="11"/>
      <c r="B173" s="11"/>
      <c r="C173" s="11"/>
      <c r="D173" s="11"/>
      <c r="E173" s="11"/>
      <c r="F173" s="11"/>
      <c r="G173" s="12"/>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row>
    <row r="174" spans="1:39" x14ac:dyDescent="0.25">
      <c r="A174" s="11"/>
      <c r="B174" s="11"/>
      <c r="C174" s="11"/>
      <c r="D174" s="11"/>
      <c r="E174" s="11"/>
      <c r="F174" s="11"/>
      <c r="G174" s="12"/>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row>
    <row r="175" spans="1:39" x14ac:dyDescent="0.25">
      <c r="A175" s="11"/>
      <c r="B175" s="11"/>
      <c r="C175" s="11"/>
      <c r="D175" s="11"/>
      <c r="E175" s="11"/>
      <c r="F175" s="11"/>
      <c r="G175" s="12"/>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row>
    <row r="176" spans="1:39" x14ac:dyDescent="0.25">
      <c r="A176" s="11"/>
      <c r="B176" s="11"/>
      <c r="C176" s="11"/>
      <c r="D176" s="11"/>
      <c r="E176" s="11"/>
      <c r="F176" s="11"/>
      <c r="G176" s="12"/>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row>
    <row r="177" spans="1:39" x14ac:dyDescent="0.25">
      <c r="A177" s="11"/>
      <c r="B177" s="11"/>
      <c r="C177" s="11"/>
      <c r="D177" s="11"/>
      <c r="E177" s="11"/>
      <c r="F177" s="11"/>
      <c r="G177" s="12"/>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row>
    <row r="178" spans="1:39" x14ac:dyDescent="0.25">
      <c r="A178" s="11"/>
      <c r="B178" s="11"/>
      <c r="C178" s="11"/>
      <c r="D178" s="11"/>
      <c r="E178" s="11"/>
      <c r="F178" s="11"/>
      <c r="G178" s="12"/>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row>
    <row r="179" spans="1:39" x14ac:dyDescent="0.25">
      <c r="A179" s="11"/>
      <c r="B179" s="11"/>
      <c r="C179" s="11"/>
      <c r="D179" s="11"/>
      <c r="E179" s="11"/>
      <c r="F179" s="11"/>
      <c r="G179" s="12"/>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row>
    <row r="180" spans="1:39" x14ac:dyDescent="0.25">
      <c r="A180" s="11"/>
      <c r="B180" s="11"/>
      <c r="C180" s="11"/>
      <c r="D180" s="11"/>
      <c r="E180" s="11"/>
      <c r="F180" s="11"/>
      <c r="G180" s="12"/>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row>
    <row r="181" spans="1:39" x14ac:dyDescent="0.25">
      <c r="A181" s="11"/>
      <c r="B181" s="11"/>
      <c r="C181" s="11"/>
      <c r="D181" s="11"/>
      <c r="E181" s="11"/>
      <c r="F181" s="11"/>
      <c r="G181" s="12"/>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row>
    <row r="182" spans="1:39" x14ac:dyDescent="0.25">
      <c r="A182" s="11"/>
      <c r="B182" s="11"/>
      <c r="C182" s="11"/>
      <c r="D182" s="11"/>
      <c r="E182" s="11"/>
      <c r="F182" s="11"/>
      <c r="G182" s="12"/>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row>
    <row r="183" spans="1:39" x14ac:dyDescent="0.25">
      <c r="A183" s="11"/>
      <c r="B183" s="11"/>
      <c r="C183" s="11"/>
      <c r="D183" s="11"/>
      <c r="E183" s="11"/>
      <c r="F183" s="11"/>
      <c r="G183" s="12"/>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row>
    <row r="184" spans="1:39" x14ac:dyDescent="0.25">
      <c r="A184" s="11"/>
      <c r="B184" s="11"/>
      <c r="C184" s="11"/>
      <c r="D184" s="11"/>
      <c r="E184" s="11"/>
      <c r="F184" s="11"/>
      <c r="G184" s="12"/>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row>
    <row r="185" spans="1:39" x14ac:dyDescent="0.25">
      <c r="A185" s="11"/>
      <c r="B185" s="11"/>
      <c r="C185" s="11"/>
      <c r="D185" s="11"/>
      <c r="E185" s="11"/>
      <c r="F185" s="11"/>
      <c r="G185" s="12"/>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row>
    <row r="186" spans="1:39" x14ac:dyDescent="0.25">
      <c r="A186" s="11"/>
      <c r="B186" s="11"/>
      <c r="C186" s="11"/>
      <c r="D186" s="11"/>
      <c r="E186" s="11"/>
      <c r="F186" s="11"/>
      <c r="G186" s="12"/>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row>
    <row r="187" spans="1:39" x14ac:dyDescent="0.25">
      <c r="A187" s="11"/>
      <c r="B187" s="11"/>
      <c r="C187" s="11"/>
      <c r="D187" s="11"/>
      <c r="E187" s="11"/>
      <c r="F187" s="11"/>
      <c r="G187" s="12"/>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row>
    <row r="188" spans="1:39" x14ac:dyDescent="0.25">
      <c r="A188" s="11"/>
      <c r="B188" s="11"/>
      <c r="C188" s="11"/>
      <c r="D188" s="11"/>
      <c r="E188" s="11"/>
      <c r="F188" s="11"/>
      <c r="G188" s="12"/>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row>
    <row r="189" spans="1:39" x14ac:dyDescent="0.25">
      <c r="A189" s="11"/>
      <c r="B189" s="11"/>
      <c r="C189" s="11"/>
      <c r="D189" s="11"/>
      <c r="G189" s="12"/>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row>
    <row r="190" spans="1:39" x14ac:dyDescent="0.25">
      <c r="A190" s="11"/>
      <c r="B190" s="11"/>
      <c r="C190" s="11"/>
      <c r="D190" s="11"/>
      <c r="G190" s="12"/>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row>
    <row r="191" spans="1:39" x14ac:dyDescent="0.25">
      <c r="A191" s="11"/>
      <c r="B191" s="11"/>
      <c r="C191" s="11"/>
      <c r="D191" s="11"/>
      <c r="G191" s="12"/>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row>
    <row r="192" spans="1:39" x14ac:dyDescent="0.25">
      <c r="A192" s="11"/>
      <c r="B192" s="11"/>
      <c r="C192" s="11"/>
      <c r="D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row>
    <row r="193" spans="1:39" x14ac:dyDescent="0.25">
      <c r="A193" s="11"/>
      <c r="B193" s="11"/>
      <c r="C193" s="11"/>
      <c r="D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row>
    <row r="194" spans="1:39" x14ac:dyDescent="0.25">
      <c r="A194" s="11"/>
      <c r="B194" s="11"/>
      <c r="C194" s="11"/>
      <c r="D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row>
    <row r="195" spans="1:39" x14ac:dyDescent="0.25">
      <c r="A195" s="11"/>
      <c r="B195" s="11"/>
      <c r="C195" s="11"/>
      <c r="D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row>
    <row r="196" spans="1:39" x14ac:dyDescent="0.25">
      <c r="A196" s="11"/>
      <c r="B196" s="11"/>
      <c r="C196" s="11"/>
      <c r="D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row>
    <row r="197" spans="1:39" x14ac:dyDescent="0.25">
      <c r="A197" s="11"/>
      <c r="B197" s="11"/>
      <c r="C197" s="11"/>
      <c r="D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row>
    <row r="198" spans="1:39" x14ac:dyDescent="0.25">
      <c r="A198" s="11"/>
      <c r="B198" s="11"/>
      <c r="C198" s="11"/>
      <c r="D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row>
  </sheetData>
  <sheetProtection algorithmName="SHA-512" hashValue="5y3+McTjiODoNaotVXPMSHQwouLZaT2zmuy3gpWEsF6jicOrXa7K0b+ey0gmTVq2Ybcy7sJWfH8JBJnvC8+iFQ==" saltValue="Sod27C+5QqVIx4YoliNOxA==" spinCount="100000" sheet="1" selectLockedCells="1"/>
  <mergeCells count="10">
    <mergeCell ref="AR54:AR61"/>
    <mergeCell ref="B57:B64"/>
    <mergeCell ref="L2:M2"/>
    <mergeCell ref="B20:B22"/>
    <mergeCell ref="B34:B36"/>
    <mergeCell ref="D95:E95"/>
    <mergeCell ref="D96:E96"/>
    <mergeCell ref="A1:M1"/>
    <mergeCell ref="D11:E12"/>
    <mergeCell ref="I64:M64"/>
  </mergeCells>
  <phoneticPr fontId="7" type="noConversion"/>
  <conditionalFormatting sqref="G83">
    <cfRule type="expression" dxfId="41" priority="91" stopIfTrue="1">
      <formula>F79="Option A"</formula>
    </cfRule>
  </conditionalFormatting>
  <conditionalFormatting sqref="E83">
    <cfRule type="expression" dxfId="40" priority="92" stopIfTrue="1">
      <formula>F79="Option A"</formula>
    </cfRule>
  </conditionalFormatting>
  <conditionalFormatting sqref="F87">
    <cfRule type="expression" dxfId="39" priority="93" stopIfTrue="1">
      <formula>F79="Option A"</formula>
    </cfRule>
  </conditionalFormatting>
  <conditionalFormatting sqref="E87">
    <cfRule type="expression" dxfId="38" priority="95" stopIfTrue="1">
      <formula>F79="Option A"</formula>
    </cfRule>
  </conditionalFormatting>
  <conditionalFormatting sqref="F28">
    <cfRule type="cellIs" dxfId="37" priority="96" stopIfTrue="1" operator="greaterThan">
      <formula>200</formula>
    </cfRule>
  </conditionalFormatting>
  <conditionalFormatting sqref="F94:F96">
    <cfRule type="cellIs" dxfId="36" priority="98" stopIfTrue="1" operator="lessThan">
      <formula>$F$80</formula>
    </cfRule>
  </conditionalFormatting>
  <conditionalFormatting sqref="F97">
    <cfRule type="cellIs" dxfId="35" priority="99" stopIfTrue="1" operator="greaterThan">
      <formula>$F$82</formula>
    </cfRule>
  </conditionalFormatting>
  <conditionalFormatting sqref="G87">
    <cfRule type="expression" dxfId="34" priority="86">
      <formula>F79="Option A"</formula>
    </cfRule>
  </conditionalFormatting>
  <conditionalFormatting sqref="G91">
    <cfRule type="expression" dxfId="33" priority="85">
      <formula>F79="Option A"</formula>
    </cfRule>
  </conditionalFormatting>
  <conditionalFormatting sqref="F91">
    <cfRule type="expression" dxfId="32" priority="84">
      <formula>F79="Option A"</formula>
    </cfRule>
  </conditionalFormatting>
  <conditionalFormatting sqref="E91">
    <cfRule type="expression" dxfId="31" priority="83">
      <formula>F79="Option A"</formula>
    </cfRule>
  </conditionalFormatting>
  <conditionalFormatting sqref="F58:F59">
    <cfRule type="colorScale" priority="60">
      <colorScale>
        <cfvo type="min"/>
        <cfvo type="formula" val="$AN$51*0.8"/>
        <cfvo type="num" val="$AN$51"/>
        <color theme="0"/>
        <color rgb="FFFFC000"/>
        <color rgb="FFFF0000"/>
      </colorScale>
    </cfRule>
  </conditionalFormatting>
  <conditionalFormatting sqref="E68:F68">
    <cfRule type="expression" dxfId="30" priority="100">
      <formula>#REF!="Yes"</formula>
    </cfRule>
  </conditionalFormatting>
  <conditionalFormatting sqref="G70:G74">
    <cfRule type="expression" dxfId="29" priority="48">
      <formula>#REF!="Yes"</formula>
    </cfRule>
  </conditionalFormatting>
  <conditionalFormatting sqref="B75:D77 B70:G72 B74:G74 C73:G73">
    <cfRule type="expression" dxfId="28" priority="40" stopIfTrue="1">
      <formula>$F$68="NO"</formula>
    </cfRule>
  </conditionalFormatting>
  <conditionalFormatting sqref="F72 F70">
    <cfRule type="cellIs" dxfId="27" priority="41" operator="greaterThanOrEqual">
      <formula>#REF!</formula>
    </cfRule>
  </conditionalFormatting>
  <conditionalFormatting sqref="F74">
    <cfRule type="cellIs" dxfId="26" priority="42" operator="between">
      <formula>1.1</formula>
      <formula>1.2999</formula>
    </cfRule>
    <cfRule type="cellIs" dxfId="25" priority="43" operator="lessThan">
      <formula>1.1</formula>
    </cfRule>
  </conditionalFormatting>
  <conditionalFormatting sqref="E46:G46">
    <cfRule type="expression" dxfId="24" priority="35" stopIfTrue="1">
      <formula>IF(#REF!="", "TRUE", "FALSE")</formula>
    </cfRule>
  </conditionalFormatting>
  <conditionalFormatting sqref="F32:F34">
    <cfRule type="cellIs" dxfId="23" priority="34" operator="lessThan">
      <formula>$F$17</formula>
    </cfRule>
  </conditionalFormatting>
  <conditionalFormatting sqref="AR54:AR61">
    <cfRule type="expression" dxfId="22" priority="29">
      <formula>#REF!="No"</formula>
    </cfRule>
    <cfRule type="expression" dxfId="21" priority="30">
      <formula>#REF!="No"</formula>
    </cfRule>
  </conditionalFormatting>
  <conditionalFormatting sqref="B57:B64">
    <cfRule type="expression" dxfId="20" priority="27">
      <formula>#REF!="No"</formula>
    </cfRule>
    <cfRule type="expression" dxfId="19" priority="28">
      <formula>#REF!="No"</formula>
    </cfRule>
  </conditionalFormatting>
  <conditionalFormatting sqref="E22:H24">
    <cfRule type="expression" dxfId="18" priority="25">
      <formula>#REF!="No"</formula>
    </cfRule>
    <cfRule type="expression" dxfId="17" priority="26">
      <formula>#REF!="No"</formula>
    </cfRule>
  </conditionalFormatting>
  <conditionalFormatting sqref="E40:E41 G40:G41">
    <cfRule type="expression" dxfId="16" priority="19">
      <formula>#REF!="No"</formula>
    </cfRule>
    <cfRule type="expression" dxfId="15" priority="20">
      <formula>#REF!="No"</formula>
    </cfRule>
  </conditionalFormatting>
  <conditionalFormatting sqref="F40:F41">
    <cfRule type="expression" dxfId="14" priority="16">
      <formula>#REF!="No"</formula>
    </cfRule>
    <cfRule type="expression" dxfId="13" priority="17">
      <formula>#REF!="No"</formula>
    </cfRule>
  </conditionalFormatting>
  <conditionalFormatting sqref="G39">
    <cfRule type="expression" dxfId="12" priority="14">
      <formula>#REF!="No"</formula>
    </cfRule>
    <cfRule type="expression" dxfId="11" priority="15">
      <formula>#REF!="No"</formula>
    </cfRule>
  </conditionalFormatting>
  <conditionalFormatting sqref="F73">
    <cfRule type="cellIs" dxfId="10" priority="11" operator="greaterThan">
      <formula>$F$22/1000</formula>
    </cfRule>
  </conditionalFormatting>
  <conditionalFormatting sqref="F38">
    <cfRule type="cellIs" dxfId="9" priority="10" operator="greaterThan">
      <formula>5</formula>
    </cfRule>
  </conditionalFormatting>
  <conditionalFormatting sqref="B54">
    <cfRule type="expression" dxfId="8" priority="8">
      <formula>$G$23="No"</formula>
    </cfRule>
    <cfRule type="expression" dxfId="7" priority="9">
      <formula>$G$22="No"</formula>
    </cfRule>
  </conditionalFormatting>
  <conditionalFormatting sqref="B73">
    <cfRule type="expression" dxfId="6" priority="6">
      <formula>$G$23="No"</formula>
    </cfRule>
    <cfRule type="expression" dxfId="5" priority="7">
      <formula>$G$22="No"</formula>
    </cfRule>
  </conditionalFormatting>
  <conditionalFormatting sqref="B20">
    <cfRule type="expression" dxfId="4" priority="4">
      <formula>$G$23="No"</formula>
    </cfRule>
    <cfRule type="expression" dxfId="3" priority="5">
      <formula>$G$22="No"</formula>
    </cfRule>
  </conditionalFormatting>
  <conditionalFormatting sqref="B34">
    <cfRule type="expression" dxfId="2" priority="2">
      <formula>$G$23="No"</formula>
    </cfRule>
    <cfRule type="expression" dxfId="1" priority="3">
      <formula>$G$22="No"</formula>
    </cfRule>
  </conditionalFormatting>
  <conditionalFormatting sqref="D69:G69">
    <cfRule type="expression" dxfId="0" priority="1">
      <formula>$F$68="Yes"</formula>
    </cfRule>
  </conditionalFormatting>
  <dataValidations xWindow="815" yWindow="414" count="15">
    <dataValidation type="decimal" allowBlank="1" showInputMessage="1" showErrorMessage="1" errorTitle="Lower UVLO Violation" error="The lower UVLO threshold MUST be at least 2.65V, and  less than the upper UVLO threshold. They cannot be equal." sqref="F81" xr:uid="{65F8E715-1132-4EBE-AAF4-F3CA7DBBDF19}">
      <formula1>2.65</formula1>
      <formula2>F80</formula2>
    </dataValidation>
    <dataValidation type="decimal" allowBlank="1" showInputMessage="1" showErrorMessage="1" errorTitle="Upper OVLO Threshold Violation" error="The Upper OVLO Threshold must be greater than the upper UVLO threshold, and less than 17V." sqref="F82" xr:uid="{AE260D13-C82C-4ECF-A184-CA526FBC1693}">
      <formula1>F80+0.01</formula1>
      <formula2>65</formula2>
    </dataValidation>
    <dataValidation type="decimal" allowBlank="1" showInputMessage="1" showErrorMessage="1" errorTitle="Lower OVLO Threshold Violation" error="The lower OVLO threshold must be greater than the upper UVLO threshold, and less than the upper OVLO threshold." sqref="F83" xr:uid="{E5AB6AF7-43E8-4533-9ED1-54FBD9C4F2ED}">
      <formula1>F80+0.01</formula1>
      <formula2>F82</formula2>
    </dataValidation>
    <dataValidation type="decimal" allowBlank="1" showInputMessage="1" showErrorMessage="1" errorTitle="UVLO Threshold Violation" error="The upper UVLO threshold must be no less than 2.9V, and no greater than 17V." sqref="F80" xr:uid="{A2B9B02C-1D5D-4915-BDFC-B30CBF703493}">
      <formula1>3</formula1>
      <formula2>65</formula2>
    </dataValidation>
    <dataValidation type="decimal" allowBlank="1" showInputMessage="1" showErrorMessage="1" errorTitle="Minimum System Voltage Violation" error="Input voltage should be between VIN(MIN) and VIN(MAX)." sqref="F15" xr:uid="{D4C29296-F988-4D6E-97BE-4ADE850F0524}">
      <formula1>F14</formula1>
      <formula2>F16</formula2>
    </dataValidation>
    <dataValidation type="decimal" operator="greaterThanOrEqual" allowBlank="1" showInputMessage="1" showErrorMessage="1" errorTitle="Load Capacitance Violation" error="A minimum load capacitance of 10 uF is required to help prevent disruptions at turn off." sqref="F18" xr:uid="{80CBD581-BAC8-4520-BF08-1F9C5E06DEFB}">
      <formula1>10</formula1>
    </dataValidation>
    <dataValidation type="decimal" operator="greaterThan" allowBlank="1" showInputMessage="1" showErrorMessage="1" errorTitle="Maximum Load Current Violation" error="Maximum Load Current must be greater than 0." sqref="F17" xr:uid="{BC79790D-5E08-4157-A796-5D58D250488B}">
      <formula1>0</formula1>
    </dataValidation>
    <dataValidation type="list" allowBlank="1" showInputMessage="1" showErrorMessage="1" sqref="F79" xr:uid="{B91EE197-1F22-436E-B4B3-D232C4F05CC4}">
      <formula1>$AN$79:$AN$80</formula1>
    </dataValidation>
    <dataValidation type="whole" allowBlank="1" showInputMessage="1" showErrorMessage="1" sqref="F49" xr:uid="{493C45E7-81B6-4716-BC2E-A8B5EED944FF}">
      <formula1>1</formula1>
      <formula2>6</formula2>
    </dataValidation>
    <dataValidation type="decimal" operator="greaterThan" allowBlank="1" showInputMessage="1" showErrorMessage="1" sqref="F46" xr:uid="{F48E3E69-F73B-4554-9367-F46959297924}">
      <formula1>0</formula1>
    </dataValidation>
    <dataValidation type="decimal" allowBlank="1" showInputMessage="1" showErrorMessage="1" sqref="F51" xr:uid="{79F24F17-B53D-43D1-A97F-E611B6743AEF}">
      <formula1>0</formula1>
      <formula2>200</formula2>
    </dataValidation>
    <dataValidation type="decimal" allowBlank="1" showInputMessage="1" showErrorMessage="1" sqref="F52:F56" xr:uid="{0873394C-7115-4480-9997-37F9596F439A}">
      <formula1>0.001</formula1>
      <formula2>400</formula2>
    </dataValidation>
    <dataValidation allowBlank="1" showInputMessage="1" showErrorMessage="1" errorTitle="Ambient Temperature Violation" error="The Ambient Temperature must be between -40C and 125C" sqref="F20:F21" xr:uid="{1BE4F319-1D47-4913-A3D8-DDBE4369042C}"/>
    <dataValidation type="list" allowBlank="1" showInputMessage="1" showErrorMessage="1" sqref="F68" xr:uid="{47D7C17A-3C50-407D-94FF-98880B3CF4E1}">
      <formula1>$AN$27:$AN$28</formula1>
    </dataValidation>
    <dataValidation type="list" allowBlank="1" showInputMessage="1" showErrorMessage="1" sqref="F66" xr:uid="{FAB5A55E-CAAD-4006-816C-BFDFC66697D8}">
      <formula1>$AN$67:$AN$68</formula1>
    </dataValidation>
  </dataValidations>
  <hyperlinks>
    <hyperlink ref="B54" r:id="rId1" xr:uid="{135122C6-A7BE-4734-A857-A2DD88B53FA5}"/>
    <hyperlink ref="B73" r:id="rId2" xr:uid="{AEB1CB40-CAFB-4105-BD68-1711E4EEE4CC}"/>
    <hyperlink ref="B20:B21" r:id="rId3" display="Steps 1 &amp; 2: Operating Conditions, Current Limit, &amp; Circuit Breaker" xr:uid="{7D083D7E-5A75-438B-9C33-32A19B5C4F0E}"/>
    <hyperlink ref="B34:B35" r:id="rId4" display="Steps 1 &amp; 2: Operating Conditions, Current Limit, &amp; Circuit Breaker" xr:uid="{568D23BB-ED32-4438-BD21-898D81F1732B}"/>
  </hyperlinks>
  <pageMargins left="0.17" right="0.17" top="0.55000000000000004" bottom="0.92" header="0.48" footer="0.2"/>
  <pageSetup scale="62" fitToHeight="2" orientation="portrait" r:id="rId5"/>
  <headerFooter alignWithMargins="0"/>
  <drawing r:id="rId6"/>
  <legacyDrawing r:id="rId7"/>
  <extLst>
    <ext xmlns:x14="http://schemas.microsoft.com/office/spreadsheetml/2009/9/main" uri="{CCE6A557-97BC-4b89-ADB6-D9C93CAAB3DF}">
      <x14:dataValidations xmlns:xm="http://schemas.microsoft.com/office/excel/2006/main" xWindow="815" yWindow="414" count="6">
        <x14:dataValidation type="decimal" allowBlank="1" showInputMessage="1" showErrorMessage="1" xr:uid="{04916858-533A-429F-8062-20A132A3FE0F}">
          <x14:formula1>
            <xm:f>0</xm:f>
          </x14:formula1>
          <x14:formula2>
            <xm:f>Equations!F100</xm:f>
          </x14:formula2>
          <xm:sqref>F65</xm:sqref>
        </x14:dataValidation>
        <x14:dataValidation type="decimal" allowBlank="1" showInputMessage="1" showErrorMessage="1" errorTitle="Ambient Temperature Violation" error="The Ambient Temperature must be between -40C and 125C" xr:uid="{9E71AF1B-E5A2-4222-B739-7CE551E69EF1}">
          <x14:formula1>
            <xm:f>'Device Parmaters'!C5</xm:f>
          </x14:formula1>
          <x14:formula2>
            <xm:f>'Device Parmaters'!E5</xm:f>
          </x14:formula2>
          <xm:sqref>F26</xm:sqref>
        </x14:dataValidation>
        <x14:dataValidation type="decimal" allowBlank="1" showInputMessage="1" showErrorMessage="1" errorTitle="Ambient Temperature Violation" error="The Ambient Temperature must be between -40C and 125C" xr:uid="{AF274702-5C77-4752-9A07-8022A83C951D}">
          <x14:formula1>
            <xm:f>'Device Parmaters'!C5</xm:f>
          </x14:formula1>
          <x14:formula2>
            <xm:f>'Device Parmaters'!E5</xm:f>
          </x14:formula2>
          <xm:sqref>F25</xm:sqref>
        </x14:dataValidation>
        <x14:dataValidation type="decimal" operator="lessThanOrEqual" allowBlank="1" showInputMessage="1" showErrorMessage="1" errorTitle="Maximum System Voltage Violation" error="The maximum system voltage must be no greater than 17V." xr:uid="{39063FB7-479A-4BC6-B0E9-99BB46FD7BC4}">
          <x14:formula1>
            <xm:f>'Device Parmaters'!E5</xm:f>
          </x14:formula1>
          <xm:sqref>F16</xm:sqref>
        </x14:dataValidation>
        <x14:dataValidation type="decimal" allowBlank="1" showInputMessage="1" showErrorMessage="1" errorTitle="Ambient Temperature Violation" error="The Ambient Temperature must be between -40C and 125C" xr:uid="{CC63A3A7-E4E4-4849-96C2-DE8B6844A0C6}">
          <x14:formula1>
            <xm:f>'Device Parmaters'!C4</xm:f>
          </x14:formula1>
          <x14:formula2>
            <xm:f>'Device Parmaters'!E4</xm:f>
          </x14:formula2>
          <xm:sqref>F19</xm:sqref>
        </x14:dataValidation>
        <x14:dataValidation type="decimal" operator="greaterThanOrEqual" allowBlank="1" showInputMessage="1" showErrorMessage="1" errorTitle="Minimum System Voltage Violation" error="The minimum system voltage must be at least 2.9V." xr:uid="{2813D7C8-CE1C-4D0B-82D3-2CB04A14806A}">
          <x14:formula1>
            <xm:f>'Device Parmaters'!C5</xm:f>
          </x14:formula1>
          <xm:sqref>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65"/>
  <sheetViews>
    <sheetView topLeftCell="A19" workbookViewId="0">
      <selection activeCell="D35" sqref="D35"/>
    </sheetView>
  </sheetViews>
  <sheetFormatPr defaultRowHeight="13.2" x14ac:dyDescent="0.25"/>
  <cols>
    <col min="1" max="1" width="9.44140625" customWidth="1"/>
    <col min="2" max="2" width="24.33203125" customWidth="1"/>
    <col min="12" max="12" width="13.5546875" customWidth="1"/>
  </cols>
  <sheetData>
    <row r="2" spans="1:17" x14ac:dyDescent="0.25">
      <c r="A2" s="24"/>
      <c r="C2" s="24" t="s">
        <v>53</v>
      </c>
      <c r="D2" s="24" t="s">
        <v>54</v>
      </c>
      <c r="E2" s="24" t="s">
        <v>55</v>
      </c>
      <c r="F2" s="24" t="s">
        <v>123</v>
      </c>
    </row>
    <row r="3" spans="1:17" x14ac:dyDescent="0.25">
      <c r="A3" s="19" t="s">
        <v>120</v>
      </c>
      <c r="C3" s="24"/>
      <c r="D3" s="24"/>
      <c r="E3" s="24"/>
    </row>
    <row r="4" spans="1:17" x14ac:dyDescent="0.25">
      <c r="A4" s="19"/>
      <c r="B4" s="24" t="s">
        <v>131</v>
      </c>
      <c r="C4" s="52">
        <v>-40</v>
      </c>
      <c r="D4" s="52"/>
      <c r="E4" s="52">
        <v>125</v>
      </c>
    </row>
    <row r="5" spans="1:17" x14ac:dyDescent="0.25">
      <c r="B5" s="25" t="s">
        <v>121</v>
      </c>
      <c r="C5" s="1">
        <v>3</v>
      </c>
      <c r="D5" s="1"/>
      <c r="E5" s="1">
        <v>65</v>
      </c>
      <c r="F5" s="24" t="s">
        <v>68</v>
      </c>
      <c r="J5" s="2"/>
    </row>
    <row r="6" spans="1:17" ht="16.5" customHeight="1" x14ac:dyDescent="0.25">
      <c r="A6" s="19" t="s">
        <v>97</v>
      </c>
      <c r="B6" s="25"/>
      <c r="C6" s="1"/>
      <c r="D6" s="1"/>
      <c r="E6" s="1"/>
      <c r="J6" s="2"/>
    </row>
    <row r="7" spans="1:17" x14ac:dyDescent="0.25">
      <c r="B7" s="25" t="s">
        <v>385</v>
      </c>
      <c r="C7" s="139">
        <v>18</v>
      </c>
      <c r="D7" s="1">
        <v>20</v>
      </c>
      <c r="E7" s="139">
        <v>22</v>
      </c>
      <c r="F7" t="s">
        <v>134</v>
      </c>
      <c r="J7" s="2"/>
    </row>
    <row r="8" spans="1:17" x14ac:dyDescent="0.25">
      <c r="B8" s="25" t="s">
        <v>386</v>
      </c>
      <c r="C8" s="139">
        <f>D8*0.9</f>
        <v>27</v>
      </c>
      <c r="D8" s="139">
        <f>Equations!I32</f>
        <v>30</v>
      </c>
      <c r="E8" s="139">
        <f>D8*1.1</f>
        <v>33</v>
      </c>
      <c r="F8" t="s">
        <v>134</v>
      </c>
      <c r="J8" s="25"/>
    </row>
    <row r="9" spans="1:17" x14ac:dyDescent="0.25">
      <c r="B9" s="25" t="s">
        <v>122</v>
      </c>
      <c r="C9" s="1"/>
      <c r="D9" s="1">
        <v>10</v>
      </c>
      <c r="E9" s="1"/>
      <c r="F9" s="24" t="s">
        <v>124</v>
      </c>
      <c r="J9" s="25"/>
    </row>
    <row r="10" spans="1:17" x14ac:dyDescent="0.25">
      <c r="C10" s="1"/>
      <c r="D10" s="1"/>
      <c r="E10" s="1"/>
    </row>
    <row r="11" spans="1:17" x14ac:dyDescent="0.25">
      <c r="A11" s="19" t="s">
        <v>133</v>
      </c>
      <c r="C11" s="1"/>
      <c r="D11" s="1"/>
      <c r="E11" s="1"/>
    </row>
    <row r="12" spans="1:17" x14ac:dyDescent="0.25">
      <c r="B12" s="24" t="s">
        <v>207</v>
      </c>
      <c r="C12" s="1"/>
      <c r="D12" s="1"/>
      <c r="E12" s="1">
        <v>2.0999999999999999E-3</v>
      </c>
      <c r="F12" s="24" t="s">
        <v>68</v>
      </c>
    </row>
    <row r="13" spans="1:17" x14ac:dyDescent="0.25">
      <c r="B13" s="24" t="s">
        <v>208</v>
      </c>
      <c r="C13" s="100"/>
      <c r="D13" s="100"/>
      <c r="E13" s="100">
        <v>4.0000000000000001E-3</v>
      </c>
      <c r="F13" s="24" t="s">
        <v>68</v>
      </c>
      <c r="G13" s="24" t="s">
        <v>209</v>
      </c>
    </row>
    <row r="14" spans="1:17" x14ac:dyDescent="0.25">
      <c r="B14" s="24" t="s">
        <v>210</v>
      </c>
      <c r="C14" s="100"/>
      <c r="D14" s="100"/>
      <c r="E14" s="105">
        <v>194000</v>
      </c>
      <c r="F14" s="24"/>
    </row>
    <row r="15" spans="1:17" x14ac:dyDescent="0.25">
      <c r="B15" s="24"/>
      <c r="C15" s="100"/>
      <c r="D15" s="100"/>
      <c r="E15" s="105"/>
      <c r="F15" s="24"/>
    </row>
    <row r="16" spans="1:17" x14ac:dyDescent="0.25">
      <c r="B16" s="24" t="s">
        <v>219</v>
      </c>
      <c r="C16" s="104" t="s">
        <v>211</v>
      </c>
      <c r="D16" s="100"/>
      <c r="E16" s="100"/>
      <c r="F16" s="24"/>
      <c r="I16" s="24" t="s">
        <v>213</v>
      </c>
      <c r="J16" s="24" t="s">
        <v>52</v>
      </c>
      <c r="K16" s="24" t="s">
        <v>214</v>
      </c>
      <c r="L16" s="24" t="s">
        <v>216</v>
      </c>
      <c r="M16" s="24" t="s">
        <v>215</v>
      </c>
      <c r="N16" s="24" t="s">
        <v>217</v>
      </c>
      <c r="P16" s="24" t="s">
        <v>215</v>
      </c>
      <c r="Q16" s="24" t="s">
        <v>214</v>
      </c>
    </row>
    <row r="17" spans="1:17" x14ac:dyDescent="0.25">
      <c r="B17" s="24"/>
      <c r="C17" s="104" t="s">
        <v>212</v>
      </c>
      <c r="D17" s="100"/>
      <c r="E17" s="100"/>
      <c r="F17" s="24"/>
      <c r="J17">
        <v>12</v>
      </c>
      <c r="K17">
        <v>25</v>
      </c>
      <c r="L17">
        <f>0.5</f>
        <v>0.5</v>
      </c>
      <c r="M17" s="107">
        <f>1/(0.001*L17)*(K17*1000/$E$14+J17*$E$12)</f>
        <v>308.1319587628866</v>
      </c>
      <c r="N17" s="106">
        <f>K17*1000/$E$14/J17+$E$12</f>
        <v>1.2838831615120273E-2</v>
      </c>
      <c r="P17">
        <v>82</v>
      </c>
      <c r="Q17">
        <f>E14*(P17*L17*0.001-J17*E12)</f>
        <v>3065.2000000000003</v>
      </c>
    </row>
    <row r="18" spans="1:17" x14ac:dyDescent="0.25">
      <c r="B18" s="24"/>
      <c r="C18" s="104" t="s">
        <v>218</v>
      </c>
      <c r="D18" s="100"/>
      <c r="E18" s="100"/>
      <c r="F18" s="24"/>
      <c r="J18">
        <v>12</v>
      </c>
      <c r="K18">
        <v>5</v>
      </c>
      <c r="L18">
        <f>0.5</f>
        <v>0.5</v>
      </c>
      <c r="M18" s="107">
        <f>1/(0.001*L18)*(K18*1000/$E$14+J18*$E$12)</f>
        <v>101.94639175257731</v>
      </c>
      <c r="N18" s="106">
        <f>K18*1000/$E$14/J18+$E$12*0.001</f>
        <v>2.1498663230240548E-3</v>
      </c>
    </row>
    <row r="19" spans="1:17" x14ac:dyDescent="0.25">
      <c r="B19" s="24" t="s">
        <v>220</v>
      </c>
      <c r="E19" s="100"/>
      <c r="F19" s="24"/>
      <c r="I19" s="24" t="s">
        <v>222</v>
      </c>
      <c r="M19" s="107"/>
      <c r="N19" s="106"/>
    </row>
    <row r="20" spans="1:17" x14ac:dyDescent="0.25">
      <c r="B20" s="24"/>
      <c r="E20" s="139"/>
      <c r="F20" s="24"/>
      <c r="I20" s="24"/>
      <c r="M20" s="107"/>
      <c r="N20" s="106"/>
    </row>
    <row r="21" spans="1:17" x14ac:dyDescent="0.25">
      <c r="A21" s="19" t="s">
        <v>390</v>
      </c>
      <c r="B21" s="24"/>
      <c r="E21" s="139"/>
      <c r="F21" s="24"/>
      <c r="I21" s="24"/>
      <c r="M21" s="107"/>
      <c r="N21" s="106"/>
    </row>
    <row r="22" spans="1:17" x14ac:dyDescent="0.25">
      <c r="B22" s="24" t="s">
        <v>391</v>
      </c>
      <c r="D22">
        <v>79</v>
      </c>
      <c r="E22" s="139"/>
      <c r="F22" s="24" t="s">
        <v>124</v>
      </c>
      <c r="I22" s="24"/>
      <c r="M22" s="107"/>
      <c r="N22" s="106"/>
    </row>
    <row r="23" spans="1:17" x14ac:dyDescent="0.25">
      <c r="B23" s="24" t="s">
        <v>392</v>
      </c>
      <c r="D23">
        <v>2.5</v>
      </c>
      <c r="E23" s="139"/>
      <c r="F23" s="24" t="s">
        <v>124</v>
      </c>
      <c r="I23" s="24"/>
      <c r="M23" s="107"/>
      <c r="N23" s="106"/>
    </row>
    <row r="24" spans="1:17" x14ac:dyDescent="0.25">
      <c r="B24" s="25" t="s">
        <v>393</v>
      </c>
      <c r="D24">
        <v>1.2</v>
      </c>
      <c r="E24" s="139"/>
      <c r="F24" s="24" t="s">
        <v>68</v>
      </c>
      <c r="I24" s="24"/>
      <c r="M24" s="107"/>
      <c r="N24" s="106"/>
    </row>
    <row r="25" spans="1:17" x14ac:dyDescent="0.25">
      <c r="B25" s="24"/>
      <c r="E25" s="139"/>
      <c r="F25" s="24"/>
      <c r="I25" s="24"/>
      <c r="M25" s="107"/>
      <c r="N25" s="106"/>
    </row>
    <row r="26" spans="1:17" x14ac:dyDescent="0.25">
      <c r="A26" s="19" t="s">
        <v>126</v>
      </c>
      <c r="C26" s="1"/>
      <c r="D26" s="1"/>
      <c r="E26" s="1"/>
    </row>
    <row r="27" spans="1:17" x14ac:dyDescent="0.25">
      <c r="B27" s="25" t="s">
        <v>127</v>
      </c>
      <c r="C27" s="1">
        <v>1.54</v>
      </c>
      <c r="D27" s="1">
        <v>1.7</v>
      </c>
      <c r="E27" s="1">
        <v>1.85</v>
      </c>
      <c r="F27" s="24" t="s">
        <v>68</v>
      </c>
    </row>
    <row r="28" spans="1:17" x14ac:dyDescent="0.25">
      <c r="B28" s="25" t="s">
        <v>128</v>
      </c>
      <c r="C28" s="1">
        <v>-3</v>
      </c>
      <c r="D28" s="1">
        <v>-5.5</v>
      </c>
      <c r="E28" s="1">
        <v>-8</v>
      </c>
      <c r="F28" s="24" t="s">
        <v>124</v>
      </c>
    </row>
    <row r="29" spans="1:17" x14ac:dyDescent="0.25">
      <c r="B29" s="25" t="s">
        <v>294</v>
      </c>
      <c r="C29" s="139"/>
      <c r="D29" s="139"/>
      <c r="E29" s="139"/>
      <c r="F29" s="24"/>
    </row>
    <row r="30" spans="1:17" x14ac:dyDescent="0.25">
      <c r="B30" s="25" t="s">
        <v>129</v>
      </c>
      <c r="C30" s="1">
        <v>120</v>
      </c>
      <c r="D30" s="1">
        <v>90</v>
      </c>
      <c r="E30" s="1">
        <v>60</v>
      </c>
      <c r="F30" s="24" t="s">
        <v>124</v>
      </c>
    </row>
    <row r="31" spans="1:17" x14ac:dyDescent="0.25">
      <c r="B31" s="25" t="s">
        <v>241</v>
      </c>
      <c r="C31" s="102"/>
      <c r="D31" s="102">
        <f>SQRT(0.66^2+ ((120-90)/90)^2+ 0.1^2)</f>
        <v>0.74613076006227697</v>
      </c>
      <c r="E31" s="102"/>
      <c r="F31" s="24"/>
      <c r="G31" s="24" t="s">
        <v>240</v>
      </c>
    </row>
    <row r="32" spans="1:17" x14ac:dyDescent="0.25">
      <c r="B32" s="25" t="s">
        <v>238</v>
      </c>
      <c r="C32" s="102"/>
      <c r="D32" s="102">
        <v>0.75</v>
      </c>
      <c r="E32" s="102"/>
      <c r="F32" s="24"/>
      <c r="G32" s="24" t="s">
        <v>239</v>
      </c>
    </row>
    <row r="33" spans="1:5" x14ac:dyDescent="0.25">
      <c r="B33" s="2"/>
      <c r="C33" s="1"/>
      <c r="D33" s="1"/>
      <c r="E33" s="1"/>
    </row>
    <row r="34" spans="1:5" x14ac:dyDescent="0.25">
      <c r="A34" s="19" t="s">
        <v>162</v>
      </c>
      <c r="B34" s="2"/>
      <c r="C34" s="1"/>
      <c r="D34" s="1"/>
      <c r="E34" s="1"/>
    </row>
    <row r="35" spans="1:5" x14ac:dyDescent="0.25">
      <c r="B35" s="25" t="s">
        <v>164</v>
      </c>
      <c r="C35" s="1"/>
      <c r="D35" s="1">
        <v>55</v>
      </c>
      <c r="E35" s="1"/>
    </row>
    <row r="36" spans="1:5" x14ac:dyDescent="0.25">
      <c r="B36" s="2"/>
      <c r="C36" s="1"/>
      <c r="D36" s="1"/>
      <c r="E36" s="1"/>
    </row>
    <row r="37" spans="1:5" x14ac:dyDescent="0.25">
      <c r="A37" s="19" t="s">
        <v>125</v>
      </c>
      <c r="B37" s="2"/>
      <c r="C37" s="1"/>
      <c r="D37" s="1"/>
      <c r="E37" s="1"/>
    </row>
    <row r="38" spans="1:5" x14ac:dyDescent="0.25">
      <c r="B38" s="25" t="s">
        <v>175</v>
      </c>
      <c r="C38" s="1">
        <v>35</v>
      </c>
      <c r="D38" s="1">
        <v>45</v>
      </c>
      <c r="E38" s="1">
        <v>55</v>
      </c>
    </row>
    <row r="39" spans="1:5" x14ac:dyDescent="0.25">
      <c r="B39" s="25" t="s">
        <v>176</v>
      </c>
      <c r="C39" s="1">
        <v>1.6</v>
      </c>
      <c r="D39" s="1">
        <v>1.8</v>
      </c>
      <c r="E39" s="1">
        <v>2</v>
      </c>
    </row>
    <row r="40" spans="1:5" x14ac:dyDescent="0.25">
      <c r="B40" s="25" t="s">
        <v>177</v>
      </c>
      <c r="C40" s="1">
        <v>70</v>
      </c>
      <c r="D40" s="1">
        <v>90</v>
      </c>
      <c r="E40" s="1">
        <v>110</v>
      </c>
    </row>
    <row r="41" spans="1:5" x14ac:dyDescent="0.25">
      <c r="B41" s="25" t="s">
        <v>178</v>
      </c>
      <c r="C41" s="1">
        <v>3.1</v>
      </c>
      <c r="D41" s="1">
        <v>3.6</v>
      </c>
      <c r="E41" s="1">
        <v>4</v>
      </c>
    </row>
    <row r="42" spans="1:5" x14ac:dyDescent="0.25">
      <c r="B42" s="2"/>
      <c r="C42" s="1"/>
      <c r="D42" s="1"/>
      <c r="E42" s="1"/>
    </row>
    <row r="43" spans="1:5" x14ac:dyDescent="0.25">
      <c r="A43" s="19" t="s">
        <v>182</v>
      </c>
      <c r="B43" s="2"/>
    </row>
    <row r="44" spans="1:5" x14ac:dyDescent="0.25">
      <c r="B44" s="25" t="s">
        <v>127</v>
      </c>
      <c r="C44">
        <v>1.54</v>
      </c>
      <c r="D44">
        <v>1.7</v>
      </c>
      <c r="E44">
        <v>1.85</v>
      </c>
    </row>
    <row r="45" spans="1:5" x14ac:dyDescent="0.25">
      <c r="B45" s="25" t="s">
        <v>183</v>
      </c>
      <c r="C45">
        <v>0.85</v>
      </c>
      <c r="D45">
        <v>1</v>
      </c>
      <c r="E45">
        <v>1.07</v>
      </c>
    </row>
    <row r="46" spans="1:5" x14ac:dyDescent="0.25">
      <c r="B46" s="25" t="s">
        <v>184</v>
      </c>
      <c r="D46">
        <v>0.3</v>
      </c>
    </row>
    <row r="47" spans="1:5" x14ac:dyDescent="0.25">
      <c r="B47" s="25" t="s">
        <v>185</v>
      </c>
      <c r="D47">
        <v>0.3</v>
      </c>
    </row>
    <row r="48" spans="1:5" x14ac:dyDescent="0.25">
      <c r="B48" s="25" t="s">
        <v>186</v>
      </c>
      <c r="C48">
        <v>3</v>
      </c>
      <c r="D48">
        <v>5.5</v>
      </c>
      <c r="E48">
        <v>8</v>
      </c>
    </row>
    <row r="49" spans="1:8" x14ac:dyDescent="0.25">
      <c r="B49" s="25" t="s">
        <v>187</v>
      </c>
      <c r="C49">
        <v>1.4</v>
      </c>
      <c r="D49">
        <v>1.9</v>
      </c>
      <c r="E49">
        <v>2.4</v>
      </c>
    </row>
    <row r="50" spans="1:8" x14ac:dyDescent="0.25">
      <c r="B50" s="25" t="s">
        <v>129</v>
      </c>
      <c r="C50">
        <v>60</v>
      </c>
      <c r="D50">
        <v>90</v>
      </c>
      <c r="E50">
        <v>120</v>
      </c>
    </row>
    <row r="51" spans="1:8" x14ac:dyDescent="0.25">
      <c r="B51" s="25" t="s">
        <v>188</v>
      </c>
      <c r="D51">
        <v>2.8</v>
      </c>
    </row>
    <row r="53" spans="1:8" x14ac:dyDescent="0.25">
      <c r="A53" s="19" t="s">
        <v>189</v>
      </c>
    </row>
    <row r="54" spans="1:8" x14ac:dyDescent="0.25">
      <c r="B54" s="25" t="s">
        <v>190</v>
      </c>
      <c r="D54">
        <v>25</v>
      </c>
      <c r="E54">
        <v>60</v>
      </c>
      <c r="F54" s="24" t="s">
        <v>134</v>
      </c>
      <c r="G54">
        <v>2</v>
      </c>
      <c r="H54" s="24" t="s">
        <v>191</v>
      </c>
    </row>
    <row r="55" spans="1:8" x14ac:dyDescent="0.25">
      <c r="A55" s="19" t="s">
        <v>192</v>
      </c>
    </row>
    <row r="56" spans="1:8" x14ac:dyDescent="0.25">
      <c r="B56" s="24" t="s">
        <v>193</v>
      </c>
      <c r="C56">
        <v>1.141</v>
      </c>
      <c r="D56">
        <v>1.167</v>
      </c>
      <c r="E56">
        <v>1.19</v>
      </c>
      <c r="F56" s="24" t="s">
        <v>68</v>
      </c>
    </row>
    <row r="57" spans="1:8" x14ac:dyDescent="0.25">
      <c r="B57" s="24" t="s">
        <v>194</v>
      </c>
      <c r="C57">
        <v>18</v>
      </c>
      <c r="D57">
        <v>24</v>
      </c>
      <c r="E57">
        <v>31</v>
      </c>
      <c r="F57" s="24" t="s">
        <v>124</v>
      </c>
    </row>
    <row r="59" spans="1:8" x14ac:dyDescent="0.25">
      <c r="A59" s="19" t="s">
        <v>399</v>
      </c>
    </row>
    <row r="60" spans="1:8" x14ac:dyDescent="0.25">
      <c r="A60" s="19"/>
      <c r="B60" s="24" t="s">
        <v>402</v>
      </c>
      <c r="D60">
        <v>0.6</v>
      </c>
      <c r="F60" s="24" t="s">
        <v>68</v>
      </c>
    </row>
    <row r="61" spans="1:8" x14ac:dyDescent="0.25">
      <c r="B61" s="24" t="s">
        <v>400</v>
      </c>
      <c r="D61">
        <v>0.55000000000000004</v>
      </c>
      <c r="F61" s="24" t="s">
        <v>68</v>
      </c>
    </row>
    <row r="62" spans="1:8" x14ac:dyDescent="0.25">
      <c r="B62" s="24" t="s">
        <v>403</v>
      </c>
      <c r="D62">
        <v>52</v>
      </c>
      <c r="F62" s="24" t="s">
        <v>404</v>
      </c>
    </row>
    <row r="63" spans="1:8" x14ac:dyDescent="0.25">
      <c r="B63" s="24" t="s">
        <v>401</v>
      </c>
      <c r="D63">
        <v>0.6</v>
      </c>
      <c r="F63" s="24" t="s">
        <v>68</v>
      </c>
    </row>
    <row r="64" spans="1:8" x14ac:dyDescent="0.25">
      <c r="B64" s="24" t="s">
        <v>405</v>
      </c>
      <c r="D64">
        <v>0.55000000000000004</v>
      </c>
      <c r="F64" s="24" t="s">
        <v>68</v>
      </c>
    </row>
    <row r="65" spans="2:6" x14ac:dyDescent="0.25">
      <c r="B65" s="24" t="s">
        <v>406</v>
      </c>
      <c r="D65">
        <v>53</v>
      </c>
      <c r="F65" s="24" t="s">
        <v>404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227"/>
  <sheetViews>
    <sheetView topLeftCell="A49" workbookViewId="0">
      <selection activeCell="D80" sqref="D80"/>
    </sheetView>
  </sheetViews>
  <sheetFormatPr defaultRowHeight="13.2" x14ac:dyDescent="0.25"/>
  <cols>
    <col min="6" max="6" width="12.44140625" bestFit="1" customWidth="1"/>
    <col min="8" max="8" width="14" customWidth="1"/>
    <col min="9" max="9" width="12.6640625" customWidth="1"/>
    <col min="10" max="10" width="11.6640625" customWidth="1"/>
  </cols>
  <sheetData>
    <row r="13" spans="1:6" x14ac:dyDescent="0.25">
      <c r="A13" s="19" t="s">
        <v>97</v>
      </c>
    </row>
    <row r="14" spans="1:6" x14ac:dyDescent="0.25">
      <c r="E14" s="2"/>
    </row>
    <row r="15" spans="1:6" x14ac:dyDescent="0.25">
      <c r="D15" t="s">
        <v>167</v>
      </c>
      <c r="E15">
        <f>IF('Design Calculator'!F40=0,'Device Parmaters'!C7,'Device Parmaters'!C8)</f>
        <v>27</v>
      </c>
      <c r="F15" s="62" t="s">
        <v>134</v>
      </c>
    </row>
    <row r="16" spans="1:6" x14ac:dyDescent="0.25">
      <c r="D16" t="s">
        <v>166</v>
      </c>
      <c r="E16">
        <f>IF('Design Calculator'!F40=0,'Device Parmaters'!D7,'Device Parmaters'!D8)</f>
        <v>30</v>
      </c>
      <c r="F16" s="62" t="s">
        <v>134</v>
      </c>
    </row>
    <row r="17" spans="1:12" x14ac:dyDescent="0.25">
      <c r="D17" t="s">
        <v>165</v>
      </c>
      <c r="E17">
        <f>IF('Design Calculator'!F40=0,'Device Parmaters'!E7,'Device Parmaters'!E8)</f>
        <v>33</v>
      </c>
      <c r="F17" s="62" t="s">
        <v>134</v>
      </c>
    </row>
    <row r="18" spans="1:12" x14ac:dyDescent="0.25">
      <c r="E18" s="2"/>
    </row>
    <row r="19" spans="1:12" x14ac:dyDescent="0.25">
      <c r="A19" s="19"/>
      <c r="E19" s="2"/>
    </row>
    <row r="20" spans="1:12" x14ac:dyDescent="0.25">
      <c r="E20" s="2" t="s">
        <v>0</v>
      </c>
      <c r="F20">
        <f>CLMIN_Threshold/('Design Calculator'!F17)</f>
        <v>2.7</v>
      </c>
    </row>
    <row r="21" spans="1:12" x14ac:dyDescent="0.25">
      <c r="E21" s="25" t="s">
        <v>168</v>
      </c>
      <c r="F21" s="24" t="e">
        <f>IF(Rs&gt;RsMAX,10,"NA")</f>
        <v>#REF!</v>
      </c>
    </row>
    <row r="22" spans="1:12" x14ac:dyDescent="0.25">
      <c r="E22" s="25" t="s">
        <v>169</v>
      </c>
      <c r="F22" t="e">
        <f>IF(Rs&gt;RsMAX,(((IOUTMAX*Rs)/CLMIN_Threshold)-1)*F21,"NA")</f>
        <v>#REF!</v>
      </c>
    </row>
    <row r="23" spans="1:12" x14ac:dyDescent="0.25">
      <c r="E23" s="25" t="s">
        <v>170</v>
      </c>
      <c r="F23">
        <f>Rs</f>
        <v>1</v>
      </c>
      <c r="H23" s="2" t="s">
        <v>2</v>
      </c>
      <c r="I23">
        <f>12*'Design Calculator'!F29/(Rs*'Design Calculator'!F31)</f>
        <v>15</v>
      </c>
    </row>
    <row r="24" spans="1:12" x14ac:dyDescent="0.25">
      <c r="E24" s="2" t="s">
        <v>1</v>
      </c>
      <c r="F24" s="4">
        <f>CLMIN_Threshold/RsEFF</f>
        <v>27</v>
      </c>
      <c r="G24" s="4"/>
    </row>
    <row r="25" spans="1:12" x14ac:dyDescent="0.25">
      <c r="E25" s="2" t="s">
        <v>2</v>
      </c>
      <c r="F25">
        <f>CLNOM_Threshold/RsEFF</f>
        <v>30</v>
      </c>
      <c r="H25" s="25" t="s">
        <v>416</v>
      </c>
      <c r="I25">
        <f>(VINNOM*'Design Calculator'!F29)/(Rs*RLIM)</f>
        <v>15</v>
      </c>
    </row>
    <row r="26" spans="1:12" x14ac:dyDescent="0.25">
      <c r="E26" s="2" t="s">
        <v>3</v>
      </c>
      <c r="F26">
        <f>CLMAX_Threshold/RsEFF</f>
        <v>33</v>
      </c>
    </row>
    <row r="27" spans="1:12" x14ac:dyDescent="0.25">
      <c r="E27" s="2" t="s">
        <v>4</v>
      </c>
      <c r="F27">
        <f>F26^2*'Design Calculator'!F28</f>
        <v>1089</v>
      </c>
    </row>
    <row r="28" spans="1:12" x14ac:dyDescent="0.25">
      <c r="E28" s="25" t="s">
        <v>387</v>
      </c>
      <c r="F28" s="24">
        <f>(12*'Design Calculator'!F29)/(Rs*IOUTMAX)</f>
        <v>40</v>
      </c>
    </row>
    <row r="29" spans="1:12" x14ac:dyDescent="0.25">
      <c r="E29" s="25" t="s">
        <v>388</v>
      </c>
      <c r="F29" s="24">
        <f>'Design Calculator'!F20*'Design Calculator'!F29/(0.9*Rs*IOUTMAX)</f>
        <v>10</v>
      </c>
      <c r="H29" s="25" t="s">
        <v>418</v>
      </c>
      <c r="I29" s="4">
        <f>0.9*Rsense*IOUTMAX*'Design Calculator'!F37/'Design Calculator'!F29</f>
        <v>2.7</v>
      </c>
      <c r="K29" s="25" t="s">
        <v>433</v>
      </c>
      <c r="L29">
        <f>5*'Design Calculator'!F29/(0.9*Rs*IOUTMAX)</f>
        <v>18.518518518518519</v>
      </c>
    </row>
    <row r="30" spans="1:12" x14ac:dyDescent="0.25">
      <c r="E30" s="25" t="s">
        <v>389</v>
      </c>
      <c r="F30" s="24">
        <f>'Design Calculator'!F21*77.5/1.2</f>
        <v>64.583333333333343</v>
      </c>
      <c r="H30" s="25" t="s">
        <v>449</v>
      </c>
      <c r="I30" s="4">
        <f>'Design Calculator'!F42</f>
        <v>68</v>
      </c>
      <c r="K30" s="25" t="s">
        <v>431</v>
      </c>
      <c r="L30" s="4">
        <f>'Design Calculator'!F43</f>
        <v>68</v>
      </c>
    </row>
    <row r="31" spans="1:12" x14ac:dyDescent="0.25">
      <c r="E31" s="25" t="s">
        <v>395</v>
      </c>
      <c r="F31" s="24">
        <f>22.7*L30</f>
        <v>1543.6</v>
      </c>
      <c r="H31" s="25" t="s">
        <v>432</v>
      </c>
      <c r="I31">
        <f>1.2*L30/77.5</f>
        <v>1.0529032258064515</v>
      </c>
    </row>
    <row r="32" spans="1:12" x14ac:dyDescent="0.25">
      <c r="E32" s="25" t="s">
        <v>439</v>
      </c>
      <c r="F32" s="24">
        <f>(('Design Calculator'!F24*Rs)-20)/10</f>
        <v>1</v>
      </c>
      <c r="H32" s="25" t="s">
        <v>440</v>
      </c>
      <c r="I32">
        <f>('Design Calculator'!F40*10+20)/Rs</f>
        <v>30</v>
      </c>
    </row>
    <row r="35" spans="1:8" x14ac:dyDescent="0.25">
      <c r="E35" s="2"/>
    </row>
    <row r="36" spans="1:8" x14ac:dyDescent="0.25">
      <c r="A36" s="19" t="s">
        <v>117</v>
      </c>
    </row>
    <row r="37" spans="1:8" x14ac:dyDescent="0.25">
      <c r="A37" s="24"/>
      <c r="F37" s="24" t="s">
        <v>118</v>
      </c>
      <c r="H37" s="24" t="s">
        <v>119</v>
      </c>
    </row>
    <row r="38" spans="1:8" x14ac:dyDescent="0.25">
      <c r="A38" s="24"/>
      <c r="E38" s="38" t="s">
        <v>93</v>
      </c>
      <c r="F38" s="39">
        <f>VINMAX*'Design Calculator'!F52</f>
        <v>2560</v>
      </c>
      <c r="G38" s="24" t="s">
        <v>69</v>
      </c>
      <c r="H38">
        <f>F38*(TJMAX-TJ)/(TJMAX-25)</f>
        <v>1636.7616</v>
      </c>
    </row>
    <row r="39" spans="1:8" x14ac:dyDescent="0.25">
      <c r="A39" s="24"/>
      <c r="E39" s="38" t="s">
        <v>94</v>
      </c>
      <c r="F39" s="39">
        <f>VINMAX*'Design Calculator'!F53</f>
        <v>336</v>
      </c>
      <c r="G39" s="24" t="s">
        <v>69</v>
      </c>
      <c r="H39">
        <f>F39*(TJMAX-TJ)/(TJMAX-25)</f>
        <v>214.82496</v>
      </c>
    </row>
    <row r="40" spans="1:8" x14ac:dyDescent="0.25">
      <c r="A40" s="24"/>
      <c r="E40" s="38" t="s">
        <v>95</v>
      </c>
      <c r="F40" s="39">
        <f>VINMAX*'Design Calculator'!F54</f>
        <v>144</v>
      </c>
      <c r="G40" s="24" t="s">
        <v>69</v>
      </c>
      <c r="H40">
        <f>F40*(TJMAX-TJ)/(TJMAX-25)</f>
        <v>92.06783999999999</v>
      </c>
    </row>
    <row r="41" spans="1:8" x14ac:dyDescent="0.25">
      <c r="A41" s="24"/>
      <c r="E41" s="38" t="s">
        <v>96</v>
      </c>
      <c r="F41" s="39">
        <f>VINMAX*'Design Calculator'!F55</f>
        <v>80</v>
      </c>
      <c r="G41" s="47" t="s">
        <v>69</v>
      </c>
      <c r="H41">
        <f>F41*(TJMAX-TJ)/(TJMAX-25)</f>
        <v>51.148800000000001</v>
      </c>
    </row>
    <row r="42" spans="1:8" x14ac:dyDescent="0.25">
      <c r="A42" s="24"/>
      <c r="E42" s="49"/>
      <c r="F42" s="48"/>
      <c r="G42" s="47"/>
    </row>
    <row r="43" spans="1:8" x14ac:dyDescent="0.25">
      <c r="A43" s="24"/>
      <c r="E43" s="49" t="s">
        <v>135</v>
      </c>
      <c r="F43" s="48">
        <f>VINMAX*'Device Parmaters'!E13/RsEFF/0.001</f>
        <v>64</v>
      </c>
      <c r="G43" s="47" t="s">
        <v>69</v>
      </c>
    </row>
    <row r="44" spans="1:8" x14ac:dyDescent="0.25">
      <c r="A44" s="24"/>
      <c r="E44" s="49" t="s">
        <v>223</v>
      </c>
      <c r="F44" s="48">
        <f>'Design Calculator'!F61</f>
        <v>0</v>
      </c>
      <c r="G44" s="47" t="s">
        <v>69</v>
      </c>
    </row>
    <row r="45" spans="1:8" x14ac:dyDescent="0.25">
      <c r="A45" s="24"/>
      <c r="E45" s="49" t="s">
        <v>214</v>
      </c>
      <c r="F45">
        <f>'Device Parmaters'!E14*(F44*RsEFF*0.001-VINMAX*'Device Parmaters'!$E$12)/1000</f>
        <v>-6.5183999999999997</v>
      </c>
      <c r="G45" s="47" t="s">
        <v>224</v>
      </c>
    </row>
    <row r="46" spans="1:8" x14ac:dyDescent="0.25">
      <c r="A46" s="24"/>
      <c r="E46" s="49" t="s">
        <v>225</v>
      </c>
      <c r="F46" s="48">
        <f>RPWR</f>
        <v>0</v>
      </c>
      <c r="G46" s="47" t="s">
        <v>224</v>
      </c>
    </row>
    <row r="47" spans="1:8" x14ac:dyDescent="0.25">
      <c r="A47" s="24"/>
      <c r="E47" s="49" t="s">
        <v>226</v>
      </c>
      <c r="F47" s="222">
        <f>1/RsEFF*1000*(Equations!F46*1000/'Device Parmaters'!E14+VINMAX*'Device Parmaters'!E12)</f>
        <v>33.6</v>
      </c>
      <c r="G47" s="47" t="s">
        <v>69</v>
      </c>
    </row>
    <row r="48" spans="1:8" x14ac:dyDescent="0.25">
      <c r="A48" s="24"/>
      <c r="E48" s="49"/>
      <c r="G48" s="47"/>
    </row>
    <row r="49" spans="1:12" x14ac:dyDescent="0.25">
      <c r="A49" s="24"/>
      <c r="E49" s="49"/>
      <c r="G49" s="47"/>
    </row>
    <row r="50" spans="1:12" x14ac:dyDescent="0.25">
      <c r="A50" s="24"/>
      <c r="E50" s="49"/>
      <c r="G50" s="47"/>
    </row>
    <row r="51" spans="1:12" x14ac:dyDescent="0.25">
      <c r="E51" s="2" t="s">
        <v>5</v>
      </c>
      <c r="F51" s="4">
        <f>F52*(1-0.24)</f>
        <v>25.536000000000001</v>
      </c>
      <c r="G51" t="s">
        <v>17</v>
      </c>
    </row>
    <row r="52" spans="1:12" x14ac:dyDescent="0.25">
      <c r="E52" s="2" t="s">
        <v>6</v>
      </c>
      <c r="F52" s="4">
        <f>F47</f>
        <v>33.6</v>
      </c>
    </row>
    <row r="53" spans="1:12" x14ac:dyDescent="0.25">
      <c r="E53" s="2" t="s">
        <v>7</v>
      </c>
      <c r="F53" s="4">
        <f>F52*(1+0.24)</f>
        <v>41.664000000000001</v>
      </c>
    </row>
    <row r="54" spans="1:12" x14ac:dyDescent="0.25">
      <c r="E54" s="2"/>
      <c r="F54" s="1"/>
      <c r="H54" s="2"/>
      <c r="I54" s="1"/>
      <c r="K54" s="2"/>
      <c r="L54" s="1"/>
    </row>
    <row r="55" spans="1:12" x14ac:dyDescent="0.25">
      <c r="E55" s="2"/>
      <c r="F55" s="1"/>
      <c r="H55" s="2"/>
      <c r="I55" s="1"/>
      <c r="K55" s="2"/>
      <c r="L55" s="1"/>
    </row>
    <row r="56" spans="1:12" x14ac:dyDescent="0.25">
      <c r="A56" s="19" t="s">
        <v>116</v>
      </c>
    </row>
    <row r="57" spans="1:12" x14ac:dyDescent="0.25">
      <c r="A57" s="19"/>
      <c r="D57" s="322" t="s">
        <v>258</v>
      </c>
      <c r="E57" s="323"/>
      <c r="F57" s="323"/>
      <c r="G57" s="323"/>
    </row>
    <row r="58" spans="1:12" x14ac:dyDescent="0.25">
      <c r="A58" s="19"/>
      <c r="E58" s="25" t="s">
        <v>242</v>
      </c>
      <c r="F58" s="4">
        <f>Start_up!M2</f>
        <v>2.9090909090909061</v>
      </c>
      <c r="G58" s="24" t="s">
        <v>8</v>
      </c>
    </row>
    <row r="59" spans="1:12" x14ac:dyDescent="0.25">
      <c r="A59" s="19"/>
      <c r="E59" s="25" t="s">
        <v>243</v>
      </c>
      <c r="F59" s="4">
        <f>'Device Parmaters'!D32</f>
        <v>0.75</v>
      </c>
    </row>
    <row r="60" spans="1:12" x14ac:dyDescent="0.25">
      <c r="A60" s="19"/>
      <c r="E60" s="25" t="s">
        <v>244</v>
      </c>
      <c r="F60">
        <f>F58*(1+F59)</f>
        <v>5.0909090909090855</v>
      </c>
      <c r="G60" s="24" t="s">
        <v>8</v>
      </c>
    </row>
    <row r="61" spans="1:12" x14ac:dyDescent="0.25">
      <c r="A61" s="19"/>
      <c r="E61" s="25" t="s">
        <v>245</v>
      </c>
      <c r="F61">
        <f>'Device Parmaters'!D30/'Device Parmaters'!D27*F60</f>
        <v>269.51871657753986</v>
      </c>
      <c r="G61" s="24" t="s">
        <v>85</v>
      </c>
    </row>
    <row r="62" spans="1:12" x14ac:dyDescent="0.25">
      <c r="A62" s="19"/>
      <c r="E62" s="25" t="s">
        <v>246</v>
      </c>
      <c r="F62" s="4" t="e">
        <f>'Design Calculator'!#REF!</f>
        <v>#REF!</v>
      </c>
      <c r="G62" s="24" t="s">
        <v>85</v>
      </c>
    </row>
    <row r="63" spans="1:12" x14ac:dyDescent="0.25">
      <c r="A63" s="19"/>
      <c r="E63" s="25" t="s">
        <v>247</v>
      </c>
      <c r="F63" t="e">
        <f>'Device Parmaters'!D27/'Device Parmaters'!D30*F62</f>
        <v>#REF!</v>
      </c>
      <c r="G63" s="24" t="s">
        <v>8</v>
      </c>
    </row>
    <row r="64" spans="1:12" x14ac:dyDescent="0.25">
      <c r="A64" s="19"/>
      <c r="E64" s="25" t="s">
        <v>254</v>
      </c>
      <c r="F64" t="e">
        <f>SOA!C26/F52</f>
        <v>#REF!</v>
      </c>
      <c r="G64" s="24"/>
    </row>
    <row r="65" spans="1:8" x14ac:dyDescent="0.25">
      <c r="A65" s="19"/>
      <c r="E65" s="25"/>
      <c r="G65" s="24"/>
    </row>
    <row r="66" spans="1:8" x14ac:dyDescent="0.25">
      <c r="A66" s="19"/>
      <c r="E66" s="25" t="s">
        <v>396</v>
      </c>
      <c r="F66">
        <f>VINNOM*COUTMAX/Inrush_Current</f>
        <v>1.2</v>
      </c>
      <c r="G66" s="24" t="s">
        <v>8</v>
      </c>
    </row>
    <row r="67" spans="1:8" x14ac:dyDescent="0.25">
      <c r="A67" s="19"/>
      <c r="E67" s="25"/>
      <c r="G67" s="24"/>
    </row>
    <row r="68" spans="1:8" x14ac:dyDescent="0.25">
      <c r="A68" s="19"/>
      <c r="D68" s="322" t="s">
        <v>262</v>
      </c>
      <c r="E68" s="323"/>
      <c r="F68" s="323"/>
      <c r="G68" s="323"/>
    </row>
    <row r="69" spans="1:8" x14ac:dyDescent="0.25">
      <c r="A69" s="19"/>
      <c r="D69" s="227"/>
      <c r="E69" s="25" t="s">
        <v>383</v>
      </c>
      <c r="F69" s="113">
        <f>Inrush_Current</f>
        <v>1000</v>
      </c>
      <c r="G69" s="113" t="s">
        <v>384</v>
      </c>
    </row>
    <row r="70" spans="1:8" x14ac:dyDescent="0.25">
      <c r="A70" s="19"/>
      <c r="C70" s="24"/>
      <c r="D70" s="119"/>
      <c r="E70" s="25" t="s">
        <v>259</v>
      </c>
      <c r="F70" s="113" t="e">
        <f>'Design Calculator'!#REF!</f>
        <v>#REF!</v>
      </c>
      <c r="G70" s="101" t="s">
        <v>260</v>
      </c>
    </row>
    <row r="71" spans="1:8" x14ac:dyDescent="0.25">
      <c r="A71" s="19"/>
      <c r="C71" s="24"/>
      <c r="D71" s="119"/>
      <c r="E71" s="25" t="s">
        <v>283</v>
      </c>
      <c r="F71" s="114">
        <f>'Device Parmaters'!D35*COUTMAX/F69</f>
        <v>5.5</v>
      </c>
      <c r="G71" s="24" t="s">
        <v>85</v>
      </c>
    </row>
    <row r="72" spans="1:8" x14ac:dyDescent="0.25">
      <c r="A72" s="19"/>
      <c r="C72" s="24"/>
      <c r="D72" s="119"/>
      <c r="E72" s="25" t="s">
        <v>284</v>
      </c>
      <c r="F72" s="113">
        <f>'Design Calculator'!F71</f>
        <v>10</v>
      </c>
      <c r="G72" s="24" t="s">
        <v>85</v>
      </c>
    </row>
    <row r="73" spans="1:8" x14ac:dyDescent="0.25">
      <c r="A73" s="19"/>
      <c r="C73" s="24"/>
      <c r="D73" s="119"/>
      <c r="E73" s="25" t="s">
        <v>285</v>
      </c>
      <c r="F73">
        <f>'Device Parmaters'!D35/Equations!F72</f>
        <v>5.5</v>
      </c>
      <c r="G73" s="24" t="s">
        <v>260</v>
      </c>
      <c r="H73" s="114" t="e">
        <f>ss_rate*F71/F72</f>
        <v>#REF!</v>
      </c>
    </row>
    <row r="74" spans="1:8" x14ac:dyDescent="0.25">
      <c r="A74" s="19"/>
      <c r="C74" s="24"/>
      <c r="D74" s="119"/>
      <c r="E74" s="25" t="s">
        <v>261</v>
      </c>
      <c r="F74" s="113">
        <f>COUTMAX*F73/1000</f>
        <v>0.55000000000000004</v>
      </c>
      <c r="G74" s="101" t="s">
        <v>27</v>
      </c>
    </row>
    <row r="75" spans="1:8" x14ac:dyDescent="0.25">
      <c r="A75" s="19"/>
      <c r="C75" s="24"/>
      <c r="D75" s="119"/>
      <c r="E75" s="25" t="s">
        <v>276</v>
      </c>
      <c r="F75" s="113">
        <f>VINMAX/F73</f>
        <v>2.9090909090909092</v>
      </c>
      <c r="G75" s="101" t="s">
        <v>8</v>
      </c>
    </row>
    <row r="76" spans="1:8" x14ac:dyDescent="0.25">
      <c r="A76" s="19"/>
      <c r="C76" s="24"/>
      <c r="D76" s="119"/>
      <c r="E76" s="25" t="s">
        <v>277</v>
      </c>
      <c r="F76" s="113">
        <f>Start_up!N5</f>
        <v>9.8357396449704079E-2</v>
      </c>
      <c r="G76" s="113" t="s">
        <v>266</v>
      </c>
    </row>
    <row r="77" spans="1:8" x14ac:dyDescent="0.25">
      <c r="A77" s="19"/>
      <c r="C77" s="24"/>
      <c r="D77" s="119"/>
      <c r="E77" s="25" t="s">
        <v>278</v>
      </c>
      <c r="F77" s="113">
        <f>Start_up!Q4</f>
        <v>68.474556213017749</v>
      </c>
      <c r="G77" s="113" t="s">
        <v>69</v>
      </c>
    </row>
    <row r="78" spans="1:8" x14ac:dyDescent="0.25">
      <c r="A78" s="19"/>
      <c r="D78" s="118"/>
      <c r="E78" s="25" t="s">
        <v>279</v>
      </c>
      <c r="F78" s="113">
        <f>F76/F77*1000</f>
        <v>1.4364079431741579</v>
      </c>
      <c r="G78" s="113" t="s">
        <v>8</v>
      </c>
    </row>
    <row r="79" spans="1:8" x14ac:dyDescent="0.25">
      <c r="A79" s="19"/>
      <c r="E79" s="25" t="s">
        <v>280</v>
      </c>
      <c r="F79" s="24">
        <f>SOA!H28</f>
        <v>223.50039300832395</v>
      </c>
      <c r="G79" s="113" t="s">
        <v>69</v>
      </c>
    </row>
    <row r="80" spans="1:8" x14ac:dyDescent="0.25">
      <c r="A80" s="19"/>
      <c r="E80" s="25" t="s">
        <v>281</v>
      </c>
      <c r="F80" s="24">
        <f>F79/F77</f>
        <v>3.2639918441097415</v>
      </c>
      <c r="G80" s="24"/>
    </row>
    <row r="81" spans="1:8" x14ac:dyDescent="0.25">
      <c r="A81" s="19"/>
      <c r="E81" s="25"/>
      <c r="F81" s="24"/>
      <c r="G81" s="24"/>
    </row>
    <row r="82" spans="1:8" x14ac:dyDescent="0.25">
      <c r="A82" s="19"/>
      <c r="E82" s="25"/>
      <c r="F82" s="24">
        <v>1</v>
      </c>
      <c r="G82" s="113" t="s">
        <v>8</v>
      </c>
    </row>
    <row r="83" spans="1:8" x14ac:dyDescent="0.25">
      <c r="A83" s="19"/>
      <c r="D83" s="324" t="s">
        <v>290</v>
      </c>
      <c r="E83" s="324"/>
      <c r="F83" s="324"/>
      <c r="G83" s="324"/>
      <c r="H83" s="324"/>
    </row>
    <row r="84" spans="1:8" x14ac:dyDescent="0.25">
      <c r="A84" s="19"/>
      <c r="E84" s="25" t="s">
        <v>286</v>
      </c>
      <c r="F84" s="138">
        <f>'Design Calculator'!F75</f>
        <v>0</v>
      </c>
      <c r="G84" s="24"/>
    </row>
    <row r="85" spans="1:8" x14ac:dyDescent="0.25">
      <c r="A85" s="19"/>
      <c r="E85" s="25" t="s">
        <v>287</v>
      </c>
      <c r="F85" s="24">
        <f>'Device Parmaters'!D30/'Device Parmaters'!D27*F84</f>
        <v>0</v>
      </c>
      <c r="G85" s="24" t="s">
        <v>85</v>
      </c>
    </row>
    <row r="86" spans="1:8" x14ac:dyDescent="0.25">
      <c r="A86" s="19"/>
      <c r="E86" s="137" t="s">
        <v>288</v>
      </c>
      <c r="F86" s="138" t="e">
        <f>'Design Calculator'!#REF!</f>
        <v>#REF!</v>
      </c>
      <c r="G86" s="24" t="s">
        <v>85</v>
      </c>
    </row>
    <row r="87" spans="1:8" x14ac:dyDescent="0.25">
      <c r="A87" s="19"/>
      <c r="E87" s="120" t="s">
        <v>292</v>
      </c>
      <c r="F87" s="24" t="e">
        <f>'Device Parmaters'!D27/'Device Parmaters'!D30*F86</f>
        <v>#REF!</v>
      </c>
      <c r="G87" s="24" t="s">
        <v>8</v>
      </c>
    </row>
    <row r="88" spans="1:8" x14ac:dyDescent="0.25">
      <c r="A88" s="19"/>
      <c r="E88" s="137" t="s">
        <v>291</v>
      </c>
      <c r="F88" s="24" t="e">
        <f>SOA!C26</f>
        <v>#REF!</v>
      </c>
      <c r="G88" s="24" t="s">
        <v>69</v>
      </c>
    </row>
    <row r="89" spans="1:8" x14ac:dyDescent="0.25">
      <c r="A89" s="19"/>
      <c r="E89" s="120" t="s">
        <v>281</v>
      </c>
      <c r="F89" s="24" t="e">
        <f>F88/F47</f>
        <v>#REF!</v>
      </c>
      <c r="G89" s="24"/>
    </row>
    <row r="90" spans="1:8" x14ac:dyDescent="0.25">
      <c r="A90" s="19"/>
      <c r="E90" s="25"/>
      <c r="F90" s="24"/>
      <c r="G90" s="24"/>
    </row>
    <row r="91" spans="1:8" x14ac:dyDescent="0.25">
      <c r="A91" s="19"/>
      <c r="E91" s="25"/>
      <c r="F91" s="24"/>
      <c r="G91" s="24"/>
    </row>
    <row r="92" spans="1:8" x14ac:dyDescent="0.25">
      <c r="A92" s="19"/>
      <c r="E92" s="25"/>
      <c r="F92" s="24"/>
      <c r="G92" s="24"/>
    </row>
    <row r="93" spans="1:8" x14ac:dyDescent="0.25">
      <c r="A93" s="19"/>
      <c r="E93" s="25"/>
      <c r="F93" s="24"/>
      <c r="G93" s="24"/>
    </row>
    <row r="94" spans="1:8" x14ac:dyDescent="0.25">
      <c r="A94" s="19"/>
      <c r="E94" s="25"/>
      <c r="F94" s="24"/>
      <c r="G94" s="24"/>
    </row>
    <row r="95" spans="1:8" x14ac:dyDescent="0.25">
      <c r="A95" s="19"/>
      <c r="E95" s="25"/>
      <c r="F95" s="24"/>
      <c r="G95" s="24"/>
    </row>
    <row r="96" spans="1:8" x14ac:dyDescent="0.25">
      <c r="A96" s="19"/>
      <c r="E96" s="25"/>
      <c r="F96" s="24"/>
      <c r="G96" s="24"/>
    </row>
    <row r="97" spans="1:13" x14ac:dyDescent="0.25">
      <c r="A97" s="19"/>
      <c r="E97" s="25"/>
      <c r="F97" s="24"/>
      <c r="G97" s="24"/>
    </row>
    <row r="98" spans="1:13" x14ac:dyDescent="0.25">
      <c r="A98" s="19"/>
    </row>
    <row r="99" spans="1:13" x14ac:dyDescent="0.25">
      <c r="A99" s="24"/>
      <c r="E99" s="25"/>
    </row>
    <row r="100" spans="1:13" x14ac:dyDescent="0.25">
      <c r="A100" s="24"/>
      <c r="E100" s="25"/>
    </row>
    <row r="101" spans="1:13" x14ac:dyDescent="0.25">
      <c r="D101" s="24"/>
      <c r="E101" s="25"/>
    </row>
    <row r="102" spans="1:13" x14ac:dyDescent="0.25">
      <c r="D102" s="24"/>
      <c r="E102" s="25"/>
    </row>
    <row r="103" spans="1:13" x14ac:dyDescent="0.25">
      <c r="D103" s="24"/>
      <c r="E103" s="25"/>
    </row>
    <row r="104" spans="1:13" x14ac:dyDescent="0.25">
      <c r="E104" s="25"/>
      <c r="J104" s="6"/>
      <c r="M104" s="6"/>
    </row>
    <row r="105" spans="1:13" x14ac:dyDescent="0.25">
      <c r="E105" s="25"/>
      <c r="J105" s="6"/>
      <c r="M105" s="6"/>
    </row>
    <row r="106" spans="1:13" x14ac:dyDescent="0.25">
      <c r="E106" s="2"/>
      <c r="G106" t="s">
        <v>18</v>
      </c>
      <c r="J106" s="7"/>
      <c r="M106" s="7"/>
    </row>
    <row r="107" spans="1:13" x14ac:dyDescent="0.25">
      <c r="E107" s="25"/>
      <c r="J107" s="7"/>
      <c r="M107" s="7"/>
    </row>
    <row r="108" spans="1:13" x14ac:dyDescent="0.25">
      <c r="E108" s="2"/>
    </row>
    <row r="109" spans="1:13" x14ac:dyDescent="0.25">
      <c r="E109" s="2"/>
      <c r="I109" t="s">
        <v>29</v>
      </c>
      <c r="L109" t="s">
        <v>34</v>
      </c>
    </row>
    <row r="110" spans="1:13" x14ac:dyDescent="0.25">
      <c r="E110" s="25"/>
      <c r="G110" s="24" t="s">
        <v>27</v>
      </c>
    </row>
    <row r="111" spans="1:13" x14ac:dyDescent="0.25">
      <c r="E111" s="25"/>
      <c r="G111" s="24" t="s">
        <v>163</v>
      </c>
    </row>
    <row r="112" spans="1:13" x14ac:dyDescent="0.25">
      <c r="E112" s="25"/>
      <c r="G112" s="24" t="s">
        <v>85</v>
      </c>
    </row>
    <row r="113" spans="5:10" x14ac:dyDescent="0.25">
      <c r="E113" s="25"/>
      <c r="G113" s="24"/>
    </row>
    <row r="114" spans="5:10" x14ac:dyDescent="0.25">
      <c r="E114" s="25"/>
      <c r="G114" s="24"/>
    </row>
    <row r="115" spans="5:10" x14ac:dyDescent="0.25">
      <c r="E115" s="25" t="s">
        <v>179</v>
      </c>
      <c r="F115" s="4" t="e">
        <f>IF('Design Calculator'!F68="YES", Equations!F86, Equations!F62)*'Device Parmaters'!C44*1000/'Device Parmaters'!E48*0.001</f>
        <v>#REF!</v>
      </c>
      <c r="G115" s="24" t="s">
        <v>8</v>
      </c>
    </row>
    <row r="116" spans="5:10" x14ac:dyDescent="0.25">
      <c r="E116" s="25" t="s">
        <v>11</v>
      </c>
      <c r="F116" s="4" t="e">
        <f>IF('Design Calculator'!F68="YES", Equations!F86, Equations!F62)*0.001*'Device Parmaters'!D44*1000/'Device Parmaters'!D48</f>
        <v>#REF!</v>
      </c>
      <c r="G116" s="24" t="s">
        <v>8</v>
      </c>
    </row>
    <row r="117" spans="5:10" x14ac:dyDescent="0.25">
      <c r="E117" s="25" t="s">
        <v>180</v>
      </c>
      <c r="F117" s="4" t="e">
        <f>IF('Design Calculator'!F68="YES", Equations!F86, Equations!F62)*0.001*'Device Parmaters'!E44*1000/'Device Parmaters'!C48</f>
        <v>#REF!</v>
      </c>
      <c r="G117" s="24" t="s">
        <v>8</v>
      </c>
    </row>
    <row r="118" spans="5:10" x14ac:dyDescent="0.25">
      <c r="E118" s="25" t="s">
        <v>181</v>
      </c>
      <c r="F118" t="e">
        <f>IF('Design Calculator'!F68="YES", Equations!F86, Equations!F62)*(H118+I118+J118)</f>
        <v>#REF!</v>
      </c>
      <c r="G118" s="24" t="s">
        <v>8</v>
      </c>
      <c r="H118">
        <f>(('Device Parmaters'!C44-'Device Parmaters'!E45)/'Device Parmaters'!E50)*7</f>
        <v>2.7416666666666666E-2</v>
      </c>
      <c r="I118">
        <f>(('Device Parmaters'!C44-'Device Parmaters'!C45)/'Device Parmaters'!D51)*8</f>
        <v>1.9714285714285718</v>
      </c>
      <c r="J118">
        <f>(('Device Parmaters'!C45-'Device Parmaters'!D46)/'Device Parmaters'!D51)</f>
        <v>0.19642857142857145</v>
      </c>
    </row>
    <row r="119" spans="5:10" x14ac:dyDescent="0.25">
      <c r="E119" s="25" t="s">
        <v>12</v>
      </c>
      <c r="F119" t="e">
        <f>IF('Design Calculator'!F68="YES", Equations!F86, Equations!F62)*(H119+I119+J119)</f>
        <v>#REF!</v>
      </c>
      <c r="G119" s="24" t="s">
        <v>8</v>
      </c>
      <c r="H119">
        <f>(('Device Parmaters'!D44-'Device Parmaters'!D45)/'Device Parmaters'!D50)*7</f>
        <v>5.4444444444444441E-2</v>
      </c>
      <c r="I119">
        <f>(('Device Parmaters'!D44-'Device Parmaters'!D45)/'Device Parmaters'!D51)*8</f>
        <v>2</v>
      </c>
      <c r="J119">
        <f>(('Device Parmaters'!D45-'Device Parmaters'!D46)/'Device Parmaters'!D51)</f>
        <v>0.25</v>
      </c>
    </row>
    <row r="120" spans="5:10" x14ac:dyDescent="0.25">
      <c r="E120" s="25" t="s">
        <v>198</v>
      </c>
      <c r="F120" t="e">
        <f>IF('Design Calculator'!F68="YES", Equations!F86, Equations!F62)*(H120+I120+J120)</f>
        <v>#REF!</v>
      </c>
      <c r="G120" s="24" t="s">
        <v>8</v>
      </c>
      <c r="H120">
        <f>(('Device Parmaters'!E44-'Device Parmaters'!C45)/'Device Parmaters'!C50)*7</f>
        <v>0.11666666666666667</v>
      </c>
      <c r="I120">
        <f>(('Device Parmaters'!E44-'Device Parmaters'!E45)/'Device Parmaters'!D51)*8</f>
        <v>2.2285714285714286</v>
      </c>
      <c r="J120">
        <f>(('Device Parmaters'!E45-'Device Parmaters'!D46)/'Device Parmaters'!D51)</f>
        <v>0.27500000000000002</v>
      </c>
    </row>
    <row r="121" spans="5:10" x14ac:dyDescent="0.25">
      <c r="E121" s="25" t="s">
        <v>197</v>
      </c>
      <c r="F121" t="e">
        <f>(1+'Design Calculator'!#REF!/'Design Calculator'!#REF!)*'Device Parmaters'!C56</f>
        <v>#REF!</v>
      </c>
      <c r="G121" s="24"/>
    </row>
    <row r="122" spans="5:10" x14ac:dyDescent="0.25">
      <c r="E122" s="25" t="s">
        <v>196</v>
      </c>
      <c r="F122" t="e">
        <f>(1+'Design Calculator'!#REF!/'Design Calculator'!#REF!)*'Device Parmaters'!D56</f>
        <v>#REF!</v>
      </c>
      <c r="G122" s="24"/>
    </row>
    <row r="123" spans="5:10" x14ac:dyDescent="0.25">
      <c r="E123" s="25" t="s">
        <v>195</v>
      </c>
      <c r="F123" t="e">
        <f>(1+'Design Calculator'!#REF!/'Design Calculator'!#REF!)*'Device Parmaters'!E56</f>
        <v>#REF!</v>
      </c>
    </row>
    <row r="124" spans="5:10" x14ac:dyDescent="0.25">
      <c r="E124" s="25" t="s">
        <v>199</v>
      </c>
      <c r="F124" t="e">
        <f>('Design Calculator'!#REF!*'Device Parmaters'!C57)</f>
        <v>#REF!</v>
      </c>
    </row>
    <row r="125" spans="5:10" x14ac:dyDescent="0.25">
      <c r="E125" s="25" t="s">
        <v>200</v>
      </c>
      <c r="F125" t="e">
        <f>('Design Calculator'!#REF!*'Device Parmaters'!$D$57)</f>
        <v>#REF!</v>
      </c>
    </row>
    <row r="126" spans="5:10" x14ac:dyDescent="0.25">
      <c r="E126" s="25" t="s">
        <v>201</v>
      </c>
      <c r="F126" t="e">
        <f>('Design Calculator'!#REF!*'Device Parmaters'!$E$57)</f>
        <v>#REF!</v>
      </c>
    </row>
    <row r="127" spans="5:10" x14ac:dyDescent="0.25">
      <c r="E127" s="25"/>
    </row>
    <row r="128" spans="5:10" x14ac:dyDescent="0.25">
      <c r="E128" s="25"/>
    </row>
    <row r="129" spans="2:9" x14ac:dyDescent="0.25">
      <c r="D129" s="19"/>
    </row>
    <row r="130" spans="2:9" x14ac:dyDescent="0.25">
      <c r="D130" s="19"/>
    </row>
    <row r="131" spans="2:9" x14ac:dyDescent="0.25">
      <c r="D131" s="19"/>
    </row>
    <row r="134" spans="2:9" x14ac:dyDescent="0.25">
      <c r="E134" s="2" t="s">
        <v>21</v>
      </c>
    </row>
    <row r="135" spans="2:9" x14ac:dyDescent="0.25">
      <c r="E135" s="2" t="s">
        <v>22</v>
      </c>
    </row>
    <row r="136" spans="2:9" x14ac:dyDescent="0.25">
      <c r="E136" s="2"/>
      <c r="F136" s="1" t="s">
        <v>27</v>
      </c>
      <c r="G136" s="1" t="s">
        <v>28</v>
      </c>
    </row>
    <row r="137" spans="2:9" x14ac:dyDescent="0.25">
      <c r="E137" s="2" t="s">
        <v>32</v>
      </c>
      <c r="F137" s="10">
        <f>(F139*'Design Calculator'!F82-((Equations!F138+Equations!F139)*'Device Parmaters'!D63))/'Device Parmaters'!D63</f>
        <v>94.899135446685861</v>
      </c>
      <c r="G137" s="10">
        <v>100</v>
      </c>
    </row>
    <row r="138" spans="2:9" x14ac:dyDescent="0.25">
      <c r="E138" s="2" t="s">
        <v>31</v>
      </c>
      <c r="F138" s="10">
        <v>10</v>
      </c>
      <c r="G138" s="10">
        <f>Equations!G137*'Device Parmaters'!D61/('Design Calculator'!F80-'Device Parmaters'!D61)</f>
        <v>12.359550561797754</v>
      </c>
    </row>
    <row r="139" spans="2:9" x14ac:dyDescent="0.25">
      <c r="E139" s="2" t="s">
        <v>30</v>
      </c>
      <c r="F139" s="10">
        <f>Equations!F138/(('Device Parmaters'!D61*'Design Calculator'!F82/('Design Calculator'!F80*'Device Parmaters'!D63))-1)</f>
        <v>1.7291066282420746</v>
      </c>
      <c r="G139" s="10">
        <v>100</v>
      </c>
    </row>
    <row r="140" spans="2:9" x14ac:dyDescent="0.25">
      <c r="E140" s="2" t="s">
        <v>33</v>
      </c>
      <c r="F140" s="1"/>
      <c r="G140" s="10">
        <f>Equations!G139*'Device Parmaters'!D63/('Design Calculator'!F82-'Device Parmaters'!D63)</f>
        <v>1.6483516483516485</v>
      </c>
    </row>
    <row r="141" spans="2:9" x14ac:dyDescent="0.25">
      <c r="B141" s="9"/>
      <c r="C141" s="9"/>
      <c r="D141" s="9"/>
      <c r="E141" s="3"/>
      <c r="F141" s="233"/>
      <c r="G141" s="233"/>
    </row>
    <row r="142" spans="2:9" x14ac:dyDescent="0.25">
      <c r="B142" s="9"/>
      <c r="C142" s="9"/>
      <c r="D142" s="9"/>
      <c r="E142" s="137" t="s">
        <v>407</v>
      </c>
      <c r="F142" s="233">
        <f>'Device Parmaters'!D61*('Design Calculator'!F88+'Design Calculator'!F89+'Design Calculator'!F90)/('Design Calculator'!F89+'Design Calculator'!F90)</f>
        <v>1.043273542600897</v>
      </c>
      <c r="G142">
        <f>'Device Parmaters'!D60*('Design Calculator'!F88+'Design Calculator'!F89+'Design Calculator'!F90)/('Design Calculator'!F89+'Design Calculator'!F90)</f>
        <v>1.138116591928251</v>
      </c>
      <c r="H142" s="233">
        <f>'Device Parmaters'!D61*('Design Calculator'!F88+'Design Calculator'!F89)/'Design Calculator'!F89</f>
        <v>5.3326086956521745</v>
      </c>
      <c r="I142">
        <f>'Device Parmaters'!D60*('Design Calculator'!F88+'Design Calculator'!F89)/'Design Calculator'!F89</f>
        <v>5.8173913043478249</v>
      </c>
    </row>
    <row r="143" spans="2:9" x14ac:dyDescent="0.25">
      <c r="B143" s="9"/>
      <c r="C143" s="9"/>
      <c r="D143" s="9"/>
      <c r="E143" s="137" t="s">
        <v>408</v>
      </c>
      <c r="F143" s="233">
        <f>'Device Parmaters'!D63*('Design Calculator'!F88+'Design Calculator'!F89+'Design Calculator'!F90)/'Design Calculator'!F90</f>
        <v>1.2689999999999999</v>
      </c>
      <c r="G143">
        <f>'Device Parmaters'!D64*('Design Calculator'!F88+'Design Calculator'!F89+'Design Calculator'!F90)/'Design Calculator'!F90</f>
        <v>1.1632500000000001</v>
      </c>
      <c r="H143" s="233">
        <f>'Device Parmaters'!D63*('Design Calculator'!F90+'Design Calculator'!F91)/'Design Calculator'!F91</f>
        <v>36.963636363636368</v>
      </c>
      <c r="I143">
        <f>'Device Parmaters'!D64*('Design Calculator'!F90+'Design Calculator'!F91)/'Design Calculator'!F91</f>
        <v>33.88333333333334</v>
      </c>
    </row>
    <row r="144" spans="2:9" x14ac:dyDescent="0.25">
      <c r="B144" s="9"/>
      <c r="C144" s="9"/>
      <c r="D144" s="9"/>
      <c r="E144" s="3"/>
      <c r="F144" s="233"/>
      <c r="G144" s="233"/>
    </row>
    <row r="145" spans="2:7" x14ac:dyDescent="0.25">
      <c r="B145" s="9"/>
      <c r="C145" s="9"/>
      <c r="D145" s="9"/>
      <c r="E145" s="3"/>
      <c r="F145" s="233"/>
      <c r="G145" s="233"/>
    </row>
    <row r="146" spans="2:7" x14ac:dyDescent="0.25">
      <c r="B146" s="9"/>
      <c r="C146" s="9"/>
      <c r="D146" s="9"/>
      <c r="E146" s="3"/>
      <c r="F146" s="233"/>
      <c r="G146" s="233"/>
    </row>
    <row r="147" spans="2:7" x14ac:dyDescent="0.25">
      <c r="B147" s="9"/>
      <c r="C147" s="9"/>
      <c r="D147" s="9"/>
      <c r="E147" s="3"/>
      <c r="F147" s="233"/>
      <c r="G147" s="233"/>
    </row>
    <row r="148" spans="2:7" x14ac:dyDescent="0.25">
      <c r="B148" s="9"/>
      <c r="C148" s="9"/>
      <c r="D148" s="9"/>
      <c r="E148" s="3"/>
      <c r="F148" s="233"/>
      <c r="G148" s="233"/>
    </row>
    <row r="149" spans="2:7" x14ac:dyDescent="0.25">
      <c r="B149" s="9"/>
      <c r="C149" s="9"/>
      <c r="D149" s="9"/>
      <c r="E149" s="3"/>
      <c r="F149" s="233"/>
      <c r="G149" s="233"/>
    </row>
    <row r="150" spans="2:7" x14ac:dyDescent="0.25">
      <c r="B150" s="9"/>
      <c r="C150" s="9"/>
      <c r="D150" s="9"/>
      <c r="E150" s="3"/>
      <c r="F150" s="233"/>
      <c r="G150" s="233"/>
    </row>
    <row r="151" spans="2:7" x14ac:dyDescent="0.25">
      <c r="B151" s="9"/>
      <c r="C151" s="9"/>
      <c r="D151" s="9"/>
      <c r="E151" s="3"/>
      <c r="F151" s="233"/>
      <c r="G151" s="233"/>
    </row>
    <row r="152" spans="2:7" x14ac:dyDescent="0.25">
      <c r="B152" s="9"/>
      <c r="C152" s="9"/>
      <c r="D152" s="9"/>
      <c r="E152" s="3"/>
      <c r="F152" s="233"/>
      <c r="G152" s="233"/>
    </row>
    <row r="160" spans="2:7" x14ac:dyDescent="0.25">
      <c r="E160" s="25" t="s">
        <v>82</v>
      </c>
      <c r="F160" s="24" t="e">
        <f>'Design Calculator'!#REF!</f>
        <v>#REF!</v>
      </c>
      <c r="G160" s="24" t="s">
        <v>8</v>
      </c>
    </row>
    <row r="161" spans="5:7" x14ac:dyDescent="0.25">
      <c r="E161" s="25" t="s">
        <v>83</v>
      </c>
      <c r="F161" s="24">
        <f>'Design Calculator'!F15</f>
        <v>12</v>
      </c>
      <c r="G161" s="24" t="s">
        <v>68</v>
      </c>
    </row>
    <row r="162" spans="5:7" x14ac:dyDescent="0.25">
      <c r="E162" s="25" t="s">
        <v>84</v>
      </c>
      <c r="F162" t="e">
        <f>22/F161*F160</f>
        <v>#REF!</v>
      </c>
      <c r="G162" s="24" t="s">
        <v>85</v>
      </c>
    </row>
    <row r="183" spans="3:6" x14ac:dyDescent="0.25">
      <c r="C183" s="19" t="s">
        <v>38</v>
      </c>
    </row>
    <row r="184" spans="3:6" x14ac:dyDescent="0.25">
      <c r="E184" s="2" t="s">
        <v>39</v>
      </c>
      <c r="F184" s="1">
        <f>'Design Calculator'!F28</f>
        <v>1</v>
      </c>
    </row>
    <row r="185" spans="3:6" ht="15.6" x14ac:dyDescent="0.35">
      <c r="E185" s="2" t="s">
        <v>40</v>
      </c>
      <c r="F185" s="1">
        <f>'Design Calculator'!F63</f>
        <v>0</v>
      </c>
    </row>
    <row r="186" spans="3:6" x14ac:dyDescent="0.25">
      <c r="E186" s="2" t="s">
        <v>41</v>
      </c>
      <c r="F186" s="1">
        <f>'Design Calculator'!F16</f>
        <v>16</v>
      </c>
    </row>
    <row r="188" spans="3:6" x14ac:dyDescent="0.25">
      <c r="E188" s="2" t="s">
        <v>42</v>
      </c>
      <c r="F188" s="10">
        <f>F189*0.9</f>
        <v>13.5</v>
      </c>
    </row>
    <row r="189" spans="3:6" x14ac:dyDescent="0.25">
      <c r="E189" s="2" t="s">
        <v>43</v>
      </c>
      <c r="F189" s="10">
        <f>I25</f>
        <v>15</v>
      </c>
    </row>
    <row r="190" spans="3:6" x14ac:dyDescent="0.25">
      <c r="E190" s="2" t="s">
        <v>44</v>
      </c>
      <c r="F190" s="10">
        <f>F189*1.1</f>
        <v>16.5</v>
      </c>
    </row>
    <row r="192" spans="3:6" x14ac:dyDescent="0.25">
      <c r="E192" s="2" t="s">
        <v>45</v>
      </c>
      <c r="F192" s="6">
        <f>F51</f>
        <v>25.536000000000001</v>
      </c>
    </row>
    <row r="193" spans="2:25" x14ac:dyDescent="0.25">
      <c r="E193" s="2" t="s">
        <v>46</v>
      </c>
      <c r="F193" s="6">
        <f>F52</f>
        <v>33.6</v>
      </c>
    </row>
    <row r="194" spans="2:25" x14ac:dyDescent="0.25">
      <c r="E194" s="2" t="s">
        <v>47</v>
      </c>
      <c r="F194" s="6">
        <f>F53</f>
        <v>41.664000000000001</v>
      </c>
    </row>
    <row r="199" spans="2:25" x14ac:dyDescent="0.25">
      <c r="D199" t="s">
        <v>48</v>
      </c>
      <c r="E199" s="2"/>
      <c r="I199" t="s">
        <v>49</v>
      </c>
      <c r="N199" t="s">
        <v>64</v>
      </c>
      <c r="R199" s="24" t="s">
        <v>70</v>
      </c>
    </row>
    <row r="200" spans="2:25" x14ac:dyDescent="0.25">
      <c r="D200" t="s">
        <v>50</v>
      </c>
      <c r="I200" t="s">
        <v>51</v>
      </c>
      <c r="N200" t="s">
        <v>56</v>
      </c>
      <c r="R200" s="24" t="s">
        <v>71</v>
      </c>
    </row>
    <row r="201" spans="2:25" x14ac:dyDescent="0.25">
      <c r="B201" s="24" t="s">
        <v>109</v>
      </c>
      <c r="D201" s="5" t="s">
        <v>52</v>
      </c>
      <c r="E201" s="5" t="s">
        <v>53</v>
      </c>
      <c r="F201" s="103" t="s">
        <v>54</v>
      </c>
      <c r="G201" s="5" t="s">
        <v>55</v>
      </c>
      <c r="I201" s="5" t="s">
        <v>52</v>
      </c>
      <c r="J201" s="5" t="s">
        <v>53</v>
      </c>
      <c r="K201" s="5" t="s">
        <v>54</v>
      </c>
      <c r="L201" s="5" t="s">
        <v>55</v>
      </c>
      <c r="N201" t="s">
        <v>57</v>
      </c>
      <c r="R201" s="5" t="s">
        <v>52</v>
      </c>
      <c r="S201" s="18" t="s">
        <v>53</v>
      </c>
      <c r="T201" s="18" t="s">
        <v>54</v>
      </c>
      <c r="U201" s="18" t="s">
        <v>55</v>
      </c>
      <c r="V201" s="115" t="s">
        <v>63</v>
      </c>
      <c r="X201" s="116" t="s">
        <v>253</v>
      </c>
    </row>
    <row r="202" spans="2:25" x14ac:dyDescent="0.25">
      <c r="B202">
        <f>D202*F202</f>
        <v>33.6</v>
      </c>
      <c r="D202" s="5">
        <v>1</v>
      </c>
      <c r="E202" s="20">
        <f>(1-$F$225)*F202</f>
        <v>25.200000000000003</v>
      </c>
      <c r="F202" s="20">
        <f t="shared" ref="F202:F218" si="0">($F$193+(D202-VINMAX)*$E$222/$E$223)/D202</f>
        <v>33.6</v>
      </c>
      <c r="G202" s="20">
        <f>F202*(1+$F$225)</f>
        <v>42</v>
      </c>
      <c r="I202" s="5">
        <v>1</v>
      </c>
      <c r="J202" s="20">
        <f t="shared" ref="J202:J218" si="1">IF(E202&gt;$F$188,$F$188,E202)</f>
        <v>13.5</v>
      </c>
      <c r="K202" s="20">
        <f t="shared" ref="K202:K218" si="2">IF(F202&gt;$F$189,$F$189,F202)</f>
        <v>15</v>
      </c>
      <c r="L202" s="20">
        <f t="shared" ref="L202:L218" si="3">IF(G202&gt;$F$190,$F$190,G202)</f>
        <v>16.5</v>
      </c>
      <c r="N202" t="s">
        <v>58</v>
      </c>
      <c r="R202" s="5">
        <v>1</v>
      </c>
      <c r="S202" s="20">
        <f t="shared" ref="S202:S221" si="4">IF($R202&gt;$F$186,0.0000000005,J202)</f>
        <v>13.5</v>
      </c>
      <c r="T202" s="20">
        <f t="shared" ref="T202:T221" si="5">IF($R202&gt;$F$186,0.0000000005,K202)</f>
        <v>15</v>
      </c>
      <c r="U202" s="20">
        <f t="shared" ref="U202:U221" si="6">IF($R202&gt;$F$186,0.0000000005,L202)</f>
        <v>16.5</v>
      </c>
      <c r="V202" s="20">
        <f>$X$202/R202</f>
        <v>223.50039300832395</v>
      </c>
      <c r="X202">
        <f>SOA!H28</f>
        <v>223.50039300832395</v>
      </c>
      <c r="Y202" s="24" t="s">
        <v>69</v>
      </c>
    </row>
    <row r="203" spans="2:25" x14ac:dyDescent="0.25">
      <c r="B203">
        <f t="shared" ref="B203:B218" si="7">D203*F203</f>
        <v>33.6</v>
      </c>
      <c r="D203" s="5">
        <v>2</v>
      </c>
      <c r="E203" s="20">
        <f t="shared" ref="E203:E218" si="8">(1-$F$225)*F203</f>
        <v>12.600000000000001</v>
      </c>
      <c r="F203" s="20">
        <f t="shared" si="0"/>
        <v>16.8</v>
      </c>
      <c r="G203" s="20">
        <f t="shared" ref="G203:G218" si="9">F203*(1+$F$225)</f>
        <v>21</v>
      </c>
      <c r="I203" s="5">
        <v>2</v>
      </c>
      <c r="J203" s="20">
        <f t="shared" si="1"/>
        <v>12.600000000000001</v>
      </c>
      <c r="K203" s="20">
        <f t="shared" si="2"/>
        <v>15</v>
      </c>
      <c r="L203" s="20">
        <f t="shared" si="3"/>
        <v>16.5</v>
      </c>
      <c r="R203" s="5">
        <v>2</v>
      </c>
      <c r="S203" s="20">
        <f t="shared" si="4"/>
        <v>12.600000000000001</v>
      </c>
      <c r="T203" s="20">
        <f t="shared" si="5"/>
        <v>15</v>
      </c>
      <c r="U203" s="20">
        <f t="shared" si="6"/>
        <v>16.5</v>
      </c>
      <c r="V203" s="20">
        <f t="shared" ref="V203:V221" si="10">$X$202/R203</f>
        <v>111.75019650416198</v>
      </c>
    </row>
    <row r="204" spans="2:25" x14ac:dyDescent="0.25">
      <c r="B204">
        <f t="shared" si="7"/>
        <v>33.6</v>
      </c>
      <c r="D204" s="5">
        <v>3</v>
      </c>
      <c r="E204" s="20">
        <f t="shared" si="8"/>
        <v>8.4</v>
      </c>
      <c r="F204" s="20">
        <f t="shared" si="0"/>
        <v>11.200000000000001</v>
      </c>
      <c r="G204" s="20">
        <f t="shared" si="9"/>
        <v>14.000000000000002</v>
      </c>
      <c r="I204" s="5">
        <v>3</v>
      </c>
      <c r="J204" s="20">
        <f t="shared" si="1"/>
        <v>8.4</v>
      </c>
      <c r="K204" s="20">
        <f t="shared" si="2"/>
        <v>11.200000000000001</v>
      </c>
      <c r="L204" s="20">
        <f t="shared" si="3"/>
        <v>14.000000000000002</v>
      </c>
      <c r="O204" s="21" t="s">
        <v>59</v>
      </c>
      <c r="R204" s="5">
        <v>3</v>
      </c>
      <c r="S204" s="20">
        <f t="shared" si="4"/>
        <v>8.4</v>
      </c>
      <c r="T204" s="20">
        <f t="shared" si="5"/>
        <v>11.200000000000001</v>
      </c>
      <c r="U204" s="20">
        <f t="shared" si="6"/>
        <v>14.000000000000002</v>
      </c>
      <c r="V204" s="20">
        <f t="shared" si="10"/>
        <v>74.500131002774651</v>
      </c>
    </row>
    <row r="205" spans="2:25" x14ac:dyDescent="0.25">
      <c r="B205">
        <f t="shared" si="7"/>
        <v>33.6</v>
      </c>
      <c r="D205" s="5">
        <v>4</v>
      </c>
      <c r="E205" s="20">
        <f t="shared" si="8"/>
        <v>6.3000000000000007</v>
      </c>
      <c r="F205" s="20">
        <f t="shared" si="0"/>
        <v>8.4</v>
      </c>
      <c r="G205" s="20">
        <f t="shared" si="9"/>
        <v>10.5</v>
      </c>
      <c r="I205" s="5">
        <v>4</v>
      </c>
      <c r="J205" s="20">
        <f t="shared" si="1"/>
        <v>6.3000000000000007</v>
      </c>
      <c r="K205" s="20">
        <f t="shared" si="2"/>
        <v>8.4</v>
      </c>
      <c r="L205" s="20">
        <f t="shared" si="3"/>
        <v>10.5</v>
      </c>
      <c r="N205" s="8" t="s">
        <v>52</v>
      </c>
      <c r="O205" s="22" t="s">
        <v>60</v>
      </c>
      <c r="R205" s="5">
        <v>4</v>
      </c>
      <c r="S205" s="20">
        <f t="shared" si="4"/>
        <v>6.3000000000000007</v>
      </c>
      <c r="T205" s="20">
        <f t="shared" si="5"/>
        <v>8.4</v>
      </c>
      <c r="U205" s="20">
        <f t="shared" si="6"/>
        <v>10.5</v>
      </c>
      <c r="V205" s="20">
        <f t="shared" si="10"/>
        <v>55.875098252080988</v>
      </c>
    </row>
    <row r="206" spans="2:25" x14ac:dyDescent="0.25">
      <c r="B206">
        <f t="shared" si="7"/>
        <v>33.6</v>
      </c>
      <c r="D206" s="5">
        <v>5</v>
      </c>
      <c r="E206" s="20">
        <f t="shared" si="8"/>
        <v>5.0400000000000009</v>
      </c>
      <c r="F206" s="20">
        <f t="shared" si="0"/>
        <v>6.7200000000000006</v>
      </c>
      <c r="G206" s="20">
        <f t="shared" si="9"/>
        <v>8.4</v>
      </c>
      <c r="I206" s="5">
        <v>5</v>
      </c>
      <c r="J206" s="20">
        <f t="shared" si="1"/>
        <v>5.0400000000000009</v>
      </c>
      <c r="K206" s="20">
        <f t="shared" si="2"/>
        <v>6.7200000000000006</v>
      </c>
      <c r="L206" s="20">
        <f t="shared" si="3"/>
        <v>8.4</v>
      </c>
      <c r="N206" s="5">
        <v>1</v>
      </c>
      <c r="O206" s="5" t="e">
        <f>SOA!C39</f>
        <v>#REF!</v>
      </c>
      <c r="P206" t="s">
        <v>61</v>
      </c>
      <c r="R206" s="5">
        <v>5</v>
      </c>
      <c r="S206" s="20">
        <f t="shared" si="4"/>
        <v>5.0400000000000009</v>
      </c>
      <c r="T206" s="20">
        <f t="shared" si="5"/>
        <v>6.7200000000000006</v>
      </c>
      <c r="U206" s="20">
        <f t="shared" si="6"/>
        <v>8.4</v>
      </c>
      <c r="V206" s="20">
        <f t="shared" si="10"/>
        <v>44.700078601664792</v>
      </c>
    </row>
    <row r="207" spans="2:25" x14ac:dyDescent="0.25">
      <c r="B207">
        <f t="shared" si="7"/>
        <v>33.6</v>
      </c>
      <c r="D207" s="5">
        <v>6</v>
      </c>
      <c r="E207" s="20">
        <f t="shared" si="8"/>
        <v>4.2</v>
      </c>
      <c r="F207" s="20">
        <f t="shared" si="0"/>
        <v>5.6000000000000005</v>
      </c>
      <c r="G207" s="20">
        <f t="shared" si="9"/>
        <v>7.0000000000000009</v>
      </c>
      <c r="I207" s="5">
        <v>6</v>
      </c>
      <c r="J207" s="20">
        <f t="shared" si="1"/>
        <v>4.2</v>
      </c>
      <c r="K207" s="20">
        <f t="shared" si="2"/>
        <v>5.6000000000000005</v>
      </c>
      <c r="L207" s="20">
        <f t="shared" si="3"/>
        <v>7.0000000000000009</v>
      </c>
      <c r="N207" s="5">
        <v>2</v>
      </c>
      <c r="O207" s="20" t="e">
        <f>O210+((O206-O210)*3/7)</f>
        <v>#REF!</v>
      </c>
      <c r="R207" s="5">
        <v>6</v>
      </c>
      <c r="S207" s="20">
        <f t="shared" si="4"/>
        <v>4.2</v>
      </c>
      <c r="T207" s="20">
        <f t="shared" si="5"/>
        <v>5.6000000000000005</v>
      </c>
      <c r="U207" s="20">
        <f t="shared" si="6"/>
        <v>7.0000000000000009</v>
      </c>
      <c r="V207" s="20">
        <f t="shared" si="10"/>
        <v>37.250065501387326</v>
      </c>
    </row>
    <row r="208" spans="2:25" x14ac:dyDescent="0.25">
      <c r="B208">
        <f t="shared" si="7"/>
        <v>33.6</v>
      </c>
      <c r="D208" s="5">
        <v>7</v>
      </c>
      <c r="E208" s="20">
        <f t="shared" si="8"/>
        <v>3.5999999999999996</v>
      </c>
      <c r="F208" s="20">
        <f t="shared" si="0"/>
        <v>4.8</v>
      </c>
      <c r="G208" s="20">
        <f t="shared" si="9"/>
        <v>6</v>
      </c>
      <c r="I208" s="5">
        <v>7</v>
      </c>
      <c r="J208" s="20">
        <f t="shared" si="1"/>
        <v>3.5999999999999996</v>
      </c>
      <c r="K208" s="20">
        <f t="shared" si="2"/>
        <v>4.8</v>
      </c>
      <c r="L208" s="20">
        <f t="shared" si="3"/>
        <v>6</v>
      </c>
      <c r="N208" s="5">
        <v>3</v>
      </c>
      <c r="O208" s="20" t="e">
        <f>O210+((O206-O210)*2/8)</f>
        <v>#REF!</v>
      </c>
      <c r="R208" s="5">
        <v>7</v>
      </c>
      <c r="S208" s="20">
        <f t="shared" si="4"/>
        <v>3.5999999999999996</v>
      </c>
      <c r="T208" s="20">
        <f t="shared" si="5"/>
        <v>4.8</v>
      </c>
      <c r="U208" s="20">
        <f t="shared" si="6"/>
        <v>6</v>
      </c>
      <c r="V208" s="20">
        <f t="shared" si="10"/>
        <v>31.928627572617707</v>
      </c>
    </row>
    <row r="209" spans="2:22" x14ac:dyDescent="0.25">
      <c r="B209">
        <f t="shared" si="7"/>
        <v>33.6</v>
      </c>
      <c r="D209" s="5">
        <v>8</v>
      </c>
      <c r="E209" s="20">
        <f t="shared" si="8"/>
        <v>3.1500000000000004</v>
      </c>
      <c r="F209" s="20">
        <f t="shared" si="0"/>
        <v>4.2</v>
      </c>
      <c r="G209" s="20">
        <f t="shared" si="9"/>
        <v>5.25</v>
      </c>
      <c r="I209" s="5">
        <v>8</v>
      </c>
      <c r="J209" s="20">
        <f t="shared" si="1"/>
        <v>3.1500000000000004</v>
      </c>
      <c r="K209" s="20">
        <f t="shared" si="2"/>
        <v>4.2</v>
      </c>
      <c r="L209" s="20">
        <f t="shared" si="3"/>
        <v>5.25</v>
      </c>
      <c r="N209" s="5">
        <v>4</v>
      </c>
      <c r="O209" s="20" t="e">
        <f>O210+((O206-O210)*1/9)</f>
        <v>#REF!</v>
      </c>
      <c r="R209" s="5">
        <v>8</v>
      </c>
      <c r="S209" s="20">
        <f t="shared" si="4"/>
        <v>3.1500000000000004</v>
      </c>
      <c r="T209" s="20">
        <f t="shared" si="5"/>
        <v>4.2</v>
      </c>
      <c r="U209" s="20">
        <f t="shared" si="6"/>
        <v>5.25</v>
      </c>
      <c r="V209" s="20">
        <f t="shared" si="10"/>
        <v>27.937549126040494</v>
      </c>
    </row>
    <row r="210" spans="2:22" x14ac:dyDescent="0.25">
      <c r="B210">
        <f t="shared" si="7"/>
        <v>33.6</v>
      </c>
      <c r="D210" s="5">
        <v>9</v>
      </c>
      <c r="E210" s="20">
        <f t="shared" si="8"/>
        <v>2.8</v>
      </c>
      <c r="F210" s="20">
        <f t="shared" si="0"/>
        <v>3.7333333333333334</v>
      </c>
      <c r="G210" s="20">
        <f t="shared" si="9"/>
        <v>4.666666666666667</v>
      </c>
      <c r="I210" s="5">
        <v>9</v>
      </c>
      <c r="J210" s="20">
        <f t="shared" si="1"/>
        <v>2.8</v>
      </c>
      <c r="K210" s="20">
        <f t="shared" si="2"/>
        <v>3.7333333333333334</v>
      </c>
      <c r="L210" s="20">
        <f t="shared" si="3"/>
        <v>4.666666666666667</v>
      </c>
      <c r="N210" s="5">
        <v>5</v>
      </c>
      <c r="O210" s="20" t="e">
        <f>SOA!C40</f>
        <v>#REF!</v>
      </c>
      <c r="P210" t="s">
        <v>62</v>
      </c>
      <c r="R210" s="5">
        <v>9</v>
      </c>
      <c r="S210" s="20">
        <f t="shared" si="4"/>
        <v>2.8</v>
      </c>
      <c r="T210" s="20">
        <f t="shared" si="5"/>
        <v>3.7333333333333334</v>
      </c>
      <c r="U210" s="20">
        <f t="shared" si="6"/>
        <v>4.666666666666667</v>
      </c>
      <c r="V210" s="20">
        <f t="shared" si="10"/>
        <v>24.833377000924884</v>
      </c>
    </row>
    <row r="211" spans="2:22" x14ac:dyDescent="0.25">
      <c r="B211">
        <f t="shared" si="7"/>
        <v>33.6</v>
      </c>
      <c r="D211" s="5">
        <v>10</v>
      </c>
      <c r="E211" s="20">
        <f t="shared" si="8"/>
        <v>2.5200000000000005</v>
      </c>
      <c r="F211" s="20">
        <f t="shared" si="0"/>
        <v>3.3600000000000003</v>
      </c>
      <c r="G211" s="20">
        <f t="shared" si="9"/>
        <v>4.2</v>
      </c>
      <c r="I211" s="5">
        <v>10</v>
      </c>
      <c r="J211" s="20">
        <f t="shared" si="1"/>
        <v>2.5200000000000005</v>
      </c>
      <c r="K211" s="20">
        <f t="shared" si="2"/>
        <v>3.3600000000000003</v>
      </c>
      <c r="L211" s="20">
        <f t="shared" si="3"/>
        <v>4.2</v>
      </c>
      <c r="N211" s="5">
        <v>6</v>
      </c>
      <c r="O211" s="20" t="e">
        <f>O$215+((O$210-O$215)*4/6)</f>
        <v>#REF!</v>
      </c>
      <c r="R211" s="5">
        <v>10</v>
      </c>
      <c r="S211" s="20">
        <f t="shared" si="4"/>
        <v>2.5200000000000005</v>
      </c>
      <c r="T211" s="20">
        <f t="shared" si="5"/>
        <v>3.3600000000000003</v>
      </c>
      <c r="U211" s="20">
        <f t="shared" si="6"/>
        <v>4.2</v>
      </c>
      <c r="V211" s="20">
        <f t="shared" si="10"/>
        <v>22.350039300832396</v>
      </c>
    </row>
    <row r="212" spans="2:22" x14ac:dyDescent="0.25">
      <c r="B212">
        <f t="shared" si="7"/>
        <v>33.6</v>
      </c>
      <c r="D212" s="5">
        <v>11</v>
      </c>
      <c r="E212" s="20">
        <f t="shared" si="8"/>
        <v>2.290909090909091</v>
      </c>
      <c r="F212" s="20">
        <f t="shared" si="0"/>
        <v>3.0545454545454547</v>
      </c>
      <c r="G212" s="20">
        <f t="shared" si="9"/>
        <v>3.8181818181818183</v>
      </c>
      <c r="I212" s="5">
        <v>11</v>
      </c>
      <c r="J212" s="20">
        <f t="shared" si="1"/>
        <v>2.290909090909091</v>
      </c>
      <c r="K212" s="20">
        <f t="shared" si="2"/>
        <v>3.0545454545454547</v>
      </c>
      <c r="L212" s="20">
        <f t="shared" si="3"/>
        <v>3.8181818181818183</v>
      </c>
      <c r="N212" s="5">
        <v>7</v>
      </c>
      <c r="O212" s="20" t="e">
        <f>O$215+((O$210-O$215)*3/7)</f>
        <v>#REF!</v>
      </c>
      <c r="R212" s="5">
        <v>11</v>
      </c>
      <c r="S212" s="20">
        <f t="shared" si="4"/>
        <v>2.290909090909091</v>
      </c>
      <c r="T212" s="20">
        <f t="shared" si="5"/>
        <v>3.0545454545454547</v>
      </c>
      <c r="U212" s="20">
        <f t="shared" si="6"/>
        <v>3.8181818181818183</v>
      </c>
      <c r="V212" s="20">
        <f t="shared" si="10"/>
        <v>20.318217546211269</v>
      </c>
    </row>
    <row r="213" spans="2:22" x14ac:dyDescent="0.25">
      <c r="B213">
        <f t="shared" si="7"/>
        <v>33.6</v>
      </c>
      <c r="D213" s="5">
        <v>12</v>
      </c>
      <c r="E213" s="20">
        <f t="shared" si="8"/>
        <v>2.1</v>
      </c>
      <c r="F213" s="20">
        <f t="shared" si="0"/>
        <v>2.8000000000000003</v>
      </c>
      <c r="G213" s="20">
        <f t="shared" si="9"/>
        <v>3.5000000000000004</v>
      </c>
      <c r="I213" s="5">
        <v>12</v>
      </c>
      <c r="J213" s="20">
        <f t="shared" si="1"/>
        <v>2.1</v>
      </c>
      <c r="K213" s="20">
        <f t="shared" si="2"/>
        <v>2.8000000000000003</v>
      </c>
      <c r="L213" s="20">
        <f t="shared" si="3"/>
        <v>3.5000000000000004</v>
      </c>
      <c r="N213" s="5">
        <v>8</v>
      </c>
      <c r="O213" s="20" t="e">
        <f>O$215+((O$210-O$215)*2/8)</f>
        <v>#REF!</v>
      </c>
      <c r="R213" s="5">
        <v>12</v>
      </c>
      <c r="S213" s="20">
        <f t="shared" si="4"/>
        <v>2.1</v>
      </c>
      <c r="T213" s="20">
        <f t="shared" si="5"/>
        <v>2.8000000000000003</v>
      </c>
      <c r="U213" s="20">
        <f t="shared" si="6"/>
        <v>3.5000000000000004</v>
      </c>
      <c r="V213" s="20">
        <f t="shared" si="10"/>
        <v>18.625032750693663</v>
      </c>
    </row>
    <row r="214" spans="2:22" x14ac:dyDescent="0.25">
      <c r="B214">
        <f t="shared" si="7"/>
        <v>33.6</v>
      </c>
      <c r="D214" s="5">
        <v>13</v>
      </c>
      <c r="E214" s="20">
        <f t="shared" si="8"/>
        <v>1.9384615384615387</v>
      </c>
      <c r="F214" s="20">
        <f t="shared" si="0"/>
        <v>2.5846153846153848</v>
      </c>
      <c r="G214" s="20">
        <f t="shared" si="9"/>
        <v>3.2307692307692308</v>
      </c>
      <c r="I214" s="5">
        <v>13</v>
      </c>
      <c r="J214" s="20">
        <f t="shared" si="1"/>
        <v>1.9384615384615387</v>
      </c>
      <c r="K214" s="20">
        <f t="shared" si="2"/>
        <v>2.5846153846153848</v>
      </c>
      <c r="L214" s="20">
        <f t="shared" si="3"/>
        <v>3.2307692307692308</v>
      </c>
      <c r="N214" s="5">
        <v>9</v>
      </c>
      <c r="O214" s="20" t="e">
        <f>O$215+((O$210-O$215)*1/9)</f>
        <v>#REF!</v>
      </c>
      <c r="R214" s="5">
        <v>13</v>
      </c>
      <c r="S214" s="20">
        <f t="shared" si="4"/>
        <v>1.9384615384615387</v>
      </c>
      <c r="T214" s="20">
        <f t="shared" si="5"/>
        <v>2.5846153846153848</v>
      </c>
      <c r="U214" s="20">
        <f t="shared" si="6"/>
        <v>3.2307692307692308</v>
      </c>
      <c r="V214" s="20">
        <f t="shared" si="10"/>
        <v>17.192337923717226</v>
      </c>
    </row>
    <row r="215" spans="2:22" x14ac:dyDescent="0.25">
      <c r="B215">
        <f t="shared" si="7"/>
        <v>33.6</v>
      </c>
      <c r="D215" s="5">
        <v>14</v>
      </c>
      <c r="E215" s="20">
        <f t="shared" si="8"/>
        <v>1.7999999999999998</v>
      </c>
      <c r="F215" s="20">
        <f t="shared" si="0"/>
        <v>2.4</v>
      </c>
      <c r="G215" s="20">
        <f t="shared" si="9"/>
        <v>3</v>
      </c>
      <c r="I215" s="5">
        <v>14</v>
      </c>
      <c r="J215" s="20">
        <f t="shared" si="1"/>
        <v>1.7999999999999998</v>
      </c>
      <c r="K215" s="20">
        <f t="shared" si="2"/>
        <v>2.4</v>
      </c>
      <c r="L215" s="20">
        <f t="shared" si="3"/>
        <v>3</v>
      </c>
      <c r="N215" s="5">
        <v>10</v>
      </c>
      <c r="O215" s="20" t="e">
        <f>SOA!C41</f>
        <v>#REF!</v>
      </c>
      <c r="P215" t="s">
        <v>62</v>
      </c>
      <c r="R215" s="5">
        <v>14</v>
      </c>
      <c r="S215" s="20">
        <f t="shared" si="4"/>
        <v>1.7999999999999998</v>
      </c>
      <c r="T215" s="20">
        <f t="shared" si="5"/>
        <v>2.4</v>
      </c>
      <c r="U215" s="20">
        <f t="shared" si="6"/>
        <v>3</v>
      </c>
      <c r="V215" s="20">
        <f t="shared" si="10"/>
        <v>15.964313786308853</v>
      </c>
    </row>
    <row r="216" spans="2:22" x14ac:dyDescent="0.25">
      <c r="B216">
        <f t="shared" si="7"/>
        <v>33.6</v>
      </c>
      <c r="D216" s="5">
        <v>15</v>
      </c>
      <c r="E216" s="20">
        <f t="shared" si="8"/>
        <v>1.6800000000000002</v>
      </c>
      <c r="F216" s="20">
        <f t="shared" si="0"/>
        <v>2.2400000000000002</v>
      </c>
      <c r="G216" s="20">
        <f t="shared" si="9"/>
        <v>2.8000000000000003</v>
      </c>
      <c r="I216" s="5">
        <v>15</v>
      </c>
      <c r="J216" s="20">
        <f t="shared" si="1"/>
        <v>1.6800000000000002</v>
      </c>
      <c r="K216" s="20">
        <f t="shared" si="2"/>
        <v>2.2400000000000002</v>
      </c>
      <c r="L216" s="20">
        <f t="shared" si="3"/>
        <v>2.8000000000000003</v>
      </c>
      <c r="N216" s="5">
        <v>11</v>
      </c>
      <c r="O216" s="20" t="e">
        <f>O$220+((O$215-O$220)*4/6)</f>
        <v>#REF!</v>
      </c>
      <c r="R216" s="5">
        <v>15</v>
      </c>
      <c r="S216" s="20">
        <f t="shared" si="4"/>
        <v>1.6800000000000002</v>
      </c>
      <c r="T216" s="20">
        <f t="shared" si="5"/>
        <v>2.2400000000000002</v>
      </c>
      <c r="U216" s="20">
        <f t="shared" si="6"/>
        <v>2.8000000000000003</v>
      </c>
      <c r="V216" s="20">
        <f t="shared" si="10"/>
        <v>14.90002620055493</v>
      </c>
    </row>
    <row r="217" spans="2:22" x14ac:dyDescent="0.25">
      <c r="B217">
        <f t="shared" si="7"/>
        <v>33.6</v>
      </c>
      <c r="D217" s="5">
        <v>16</v>
      </c>
      <c r="E217" s="20">
        <f t="shared" si="8"/>
        <v>1.5750000000000002</v>
      </c>
      <c r="F217" s="20">
        <f t="shared" si="0"/>
        <v>2.1</v>
      </c>
      <c r="G217" s="20">
        <f t="shared" si="9"/>
        <v>2.625</v>
      </c>
      <c r="I217" s="5">
        <v>16</v>
      </c>
      <c r="J217" s="20">
        <f t="shared" si="1"/>
        <v>1.5750000000000002</v>
      </c>
      <c r="K217" s="20">
        <f t="shared" si="2"/>
        <v>2.1</v>
      </c>
      <c r="L217" s="20">
        <f t="shared" si="3"/>
        <v>2.625</v>
      </c>
      <c r="N217" s="5">
        <v>12</v>
      </c>
      <c r="O217" s="20" t="e">
        <f>O$220+((O$215-O$220)*3/7)</f>
        <v>#REF!</v>
      </c>
      <c r="R217" s="5">
        <v>16</v>
      </c>
      <c r="S217" s="20">
        <f t="shared" si="4"/>
        <v>1.5750000000000002</v>
      </c>
      <c r="T217" s="20">
        <f t="shared" si="5"/>
        <v>2.1</v>
      </c>
      <c r="U217" s="20">
        <f t="shared" si="6"/>
        <v>2.625</v>
      </c>
      <c r="V217" s="20">
        <f t="shared" si="10"/>
        <v>13.968774563020247</v>
      </c>
    </row>
    <row r="218" spans="2:22" x14ac:dyDescent="0.25">
      <c r="B218">
        <f t="shared" si="7"/>
        <v>33.6</v>
      </c>
      <c r="D218" s="5">
        <v>17</v>
      </c>
      <c r="E218" s="20">
        <f t="shared" si="8"/>
        <v>1.4823529411764707</v>
      </c>
      <c r="F218" s="20">
        <f t="shared" si="0"/>
        <v>1.9764705882352942</v>
      </c>
      <c r="G218" s="20">
        <f t="shared" si="9"/>
        <v>2.4705882352941178</v>
      </c>
      <c r="I218" s="5">
        <v>17</v>
      </c>
      <c r="J218" s="20">
        <f t="shared" si="1"/>
        <v>1.4823529411764707</v>
      </c>
      <c r="K218" s="20">
        <f t="shared" si="2"/>
        <v>1.9764705882352942</v>
      </c>
      <c r="L218" s="20">
        <f t="shared" si="3"/>
        <v>2.4705882352941178</v>
      </c>
      <c r="N218" s="5">
        <v>13</v>
      </c>
      <c r="O218" s="20" t="e">
        <f>O$220+((O$215-O$220)*2/8)</f>
        <v>#REF!</v>
      </c>
      <c r="R218" s="5">
        <v>17</v>
      </c>
      <c r="S218" s="20">
        <f t="shared" si="4"/>
        <v>5.0000000000000003E-10</v>
      </c>
      <c r="T218" s="20">
        <f t="shared" si="5"/>
        <v>5.0000000000000003E-10</v>
      </c>
      <c r="U218" s="20">
        <f t="shared" si="6"/>
        <v>5.0000000000000003E-10</v>
      </c>
      <c r="V218" s="20">
        <f t="shared" si="10"/>
        <v>13.147081941666116</v>
      </c>
    </row>
    <row r="219" spans="2:22" x14ac:dyDescent="0.25">
      <c r="N219" s="5">
        <v>14</v>
      </c>
      <c r="O219" s="20" t="e">
        <f>O$220+((O$215-O$220)*1/9)</f>
        <v>#REF!</v>
      </c>
      <c r="R219" s="18">
        <v>18</v>
      </c>
      <c r="S219" s="20">
        <f t="shared" si="4"/>
        <v>5.0000000000000003E-10</v>
      </c>
      <c r="T219" s="20">
        <f t="shared" si="5"/>
        <v>5.0000000000000003E-10</v>
      </c>
      <c r="U219" s="20">
        <f t="shared" si="6"/>
        <v>5.0000000000000003E-10</v>
      </c>
      <c r="V219" s="20">
        <f t="shared" si="10"/>
        <v>12.416688500462442</v>
      </c>
    </row>
    <row r="220" spans="2:22" x14ac:dyDescent="0.25">
      <c r="D220" s="24" t="s">
        <v>248</v>
      </c>
      <c r="N220" s="5">
        <v>15</v>
      </c>
      <c r="O220" s="20">
        <f>SOA!C42</f>
        <v>0</v>
      </c>
      <c r="P220" t="s">
        <v>62</v>
      </c>
      <c r="R220" s="18">
        <v>19</v>
      </c>
      <c r="S220" s="20">
        <f t="shared" si="4"/>
        <v>5.0000000000000003E-10</v>
      </c>
      <c r="T220" s="20">
        <f t="shared" si="5"/>
        <v>5.0000000000000003E-10</v>
      </c>
      <c r="U220" s="20">
        <f t="shared" si="6"/>
        <v>5.0000000000000003E-10</v>
      </c>
      <c r="V220" s="20">
        <f t="shared" si="10"/>
        <v>11.763178579385471</v>
      </c>
    </row>
    <row r="221" spans="2:22" x14ac:dyDescent="0.25">
      <c r="N221" s="5">
        <v>16</v>
      </c>
      <c r="O221" s="20">
        <f>O$225+((O$220-O$225)*4/6)</f>
        <v>0</v>
      </c>
      <c r="R221" s="18">
        <v>20</v>
      </c>
      <c r="S221" s="20">
        <f t="shared" si="4"/>
        <v>5.0000000000000003E-10</v>
      </c>
      <c r="T221" s="20">
        <f t="shared" si="5"/>
        <v>5.0000000000000003E-10</v>
      </c>
      <c r="U221" s="20">
        <f t="shared" si="6"/>
        <v>5.0000000000000003E-10</v>
      </c>
      <c r="V221" s="20">
        <f t="shared" si="10"/>
        <v>11.175019650416198</v>
      </c>
    </row>
    <row r="222" spans="2:22" x14ac:dyDescent="0.25">
      <c r="D222" s="24" t="s">
        <v>249</v>
      </c>
      <c r="E222">
        <v>0</v>
      </c>
      <c r="N222" s="5">
        <v>17</v>
      </c>
      <c r="O222" s="20">
        <f>O$225+((O$220-O$225)*3/7)</f>
        <v>0</v>
      </c>
    </row>
    <row r="223" spans="2:22" x14ac:dyDescent="0.25">
      <c r="D223" s="24" t="s">
        <v>250</v>
      </c>
      <c r="E223">
        <f>RsEFF*0.001</f>
        <v>1E-3</v>
      </c>
      <c r="N223" s="18">
        <v>18</v>
      </c>
      <c r="O223" s="20">
        <f>O$225+((O$220-O$225)*2/8)</f>
        <v>0</v>
      </c>
    </row>
    <row r="224" spans="2:22" x14ac:dyDescent="0.25">
      <c r="D224" s="24" t="s">
        <v>251</v>
      </c>
      <c r="E224">
        <f>VINMAX</f>
        <v>16</v>
      </c>
      <c r="N224" s="18">
        <v>19</v>
      </c>
      <c r="O224" s="20">
        <f>O$225+((O$220-O$225)*1/9)</f>
        <v>0</v>
      </c>
    </row>
    <row r="225" spans="4:16" x14ac:dyDescent="0.25">
      <c r="D225" s="24" t="s">
        <v>252</v>
      </c>
      <c r="E225" s="100"/>
      <c r="F225">
        <v>0.25</v>
      </c>
      <c r="N225" s="18">
        <v>20</v>
      </c>
      <c r="O225" s="20">
        <f>SOA!C43</f>
        <v>0</v>
      </c>
      <c r="P225" t="s">
        <v>62</v>
      </c>
    </row>
    <row r="227" spans="4:16" x14ac:dyDescent="0.25">
      <c r="D227" s="104" t="s">
        <v>221</v>
      </c>
    </row>
  </sheetData>
  <mergeCells count="3">
    <mergeCell ref="D57:G57"/>
    <mergeCell ref="D68:G68"/>
    <mergeCell ref="D83:H83"/>
  </mergeCells>
  <pageMargins left="0.7" right="0.7" top="0.75" bottom="0.75" header="0.3" footer="0.3"/>
  <pageSetup orientation="portrait" r:id="rId1"/>
  <ignoredErrors>
    <ignoredError sqref="F18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5"/>
  <sheetViews>
    <sheetView zoomScale="85" zoomScaleNormal="85" workbookViewId="0">
      <selection activeCell="O10" sqref="O10"/>
    </sheetView>
  </sheetViews>
  <sheetFormatPr defaultColWidth="9.33203125" defaultRowHeight="13.2" x14ac:dyDescent="0.25"/>
  <cols>
    <col min="1" max="1" width="11" style="41" customWidth="1"/>
    <col min="2" max="2" width="14.5546875" style="41" bestFit="1" customWidth="1"/>
    <col min="3" max="3" width="9.33203125" style="41"/>
    <col min="4" max="5" width="15" style="41" customWidth="1"/>
    <col min="6" max="6" width="15.44140625" style="41" customWidth="1"/>
    <col min="7" max="7" width="14.6640625" style="41" customWidth="1"/>
    <col min="8" max="8" width="10.6640625" style="41" customWidth="1"/>
    <col min="9" max="9" width="12.44140625" style="41" bestFit="1" customWidth="1"/>
    <col min="10" max="10" width="14.6640625" style="41" customWidth="1"/>
    <col min="11" max="11" width="12.6640625" style="41" customWidth="1"/>
    <col min="12" max="12" width="14.33203125" style="41" customWidth="1"/>
    <col min="13" max="13" width="20.6640625" style="41" customWidth="1"/>
    <col min="14" max="14" width="12.6640625" style="41" customWidth="1"/>
    <col min="15" max="15" width="10.33203125" style="41" bestFit="1" customWidth="1"/>
    <col min="16" max="16" width="18.6640625" style="41" customWidth="1"/>
    <col min="17" max="17" width="10.6640625" style="41" customWidth="1"/>
    <col min="18" max="16384" width="9.33203125" style="41"/>
  </cols>
  <sheetData>
    <row r="1" spans="1:25" x14ac:dyDescent="0.25">
      <c r="B1" s="41" t="s">
        <v>109</v>
      </c>
      <c r="C1" s="41" t="s">
        <v>227</v>
      </c>
      <c r="D1" s="41" t="s">
        <v>228</v>
      </c>
      <c r="F1" s="117" t="s">
        <v>256</v>
      </c>
      <c r="G1" s="117" t="s">
        <v>229</v>
      </c>
      <c r="H1" s="117" t="s">
        <v>230</v>
      </c>
      <c r="I1" s="117" t="s">
        <v>231</v>
      </c>
      <c r="J1" s="117" t="s">
        <v>232</v>
      </c>
      <c r="K1" s="117"/>
      <c r="L1" s="117"/>
      <c r="M1" s="117" t="s">
        <v>236</v>
      </c>
      <c r="N1" s="117"/>
      <c r="O1" s="117" t="s">
        <v>237</v>
      </c>
      <c r="Q1" s="41" t="s">
        <v>271</v>
      </c>
      <c r="R1" s="41" t="s">
        <v>272</v>
      </c>
    </row>
    <row r="2" spans="1:25" x14ac:dyDescent="0.25">
      <c r="B2" s="108">
        <v>1000000000</v>
      </c>
      <c r="C2" s="41">
        <f>'Design Calculator'!F33</f>
        <v>15</v>
      </c>
      <c r="D2" s="41" t="str">
        <f>IF( 'Design Calculator'!F66 = "Constant Current", "CC", "R")</f>
        <v>R</v>
      </c>
      <c r="F2" s="41" t="str">
        <f>'Design Calculator'!F68</f>
        <v>Yes</v>
      </c>
      <c r="G2" s="41">
        <f>'Design Calculator'!F67</f>
        <v>1</v>
      </c>
      <c r="H2" s="41">
        <f>'Design Calculator'!F65</f>
        <v>6</v>
      </c>
      <c r="I2" s="41">
        <f>RsEFF</f>
        <v>1</v>
      </c>
      <c r="J2" s="41">
        <f>'Device Parmaters'!E12</f>
        <v>2.0999999999999999E-3</v>
      </c>
      <c r="M2" s="108">
        <f>J114*1000</f>
        <v>2.9090909090909061</v>
      </c>
      <c r="N2" s="41" t="s">
        <v>8</v>
      </c>
      <c r="O2" s="112">
        <f>MIN(L10:L111)</f>
        <v>3.4185990915610739E-2</v>
      </c>
      <c r="Q2" s="41">
        <f>'Device Parmaters'!E35/'Device Parmaters'!D35</f>
        <v>0</v>
      </c>
      <c r="R2" s="41">
        <f>'Device Parmaters'!C35/'Device Parmaters'!D35</f>
        <v>0</v>
      </c>
    </row>
    <row r="3" spans="1:25" x14ac:dyDescent="0.25">
      <c r="B3" s="108"/>
      <c r="M3" s="108"/>
      <c r="O3" s="112"/>
    </row>
    <row r="4" spans="1:25" x14ac:dyDescent="0.25">
      <c r="B4" s="108"/>
      <c r="D4" s="41" t="s">
        <v>263</v>
      </c>
      <c r="M4" s="108" t="s">
        <v>264</v>
      </c>
      <c r="N4" s="41">
        <f>MIN(M10:M114)</f>
        <v>-25</v>
      </c>
      <c r="O4" s="112" t="s">
        <v>260</v>
      </c>
      <c r="P4" s="41" t="s">
        <v>273</v>
      </c>
      <c r="Q4" s="41">
        <f>MAX(O10:O114)</f>
        <v>68.474556213017749</v>
      </c>
      <c r="R4" s="41" t="s">
        <v>69</v>
      </c>
    </row>
    <row r="5" spans="1:25" x14ac:dyDescent="0.25">
      <c r="B5" s="108"/>
      <c r="M5" s="41" t="s">
        <v>265</v>
      </c>
      <c r="N5" s="41">
        <f>SUM(N10:N114)</f>
        <v>9.8357396449704079E-2</v>
      </c>
      <c r="O5" s="112" t="s">
        <v>266</v>
      </c>
      <c r="P5" s="41" t="s">
        <v>275</v>
      </c>
      <c r="Q5" s="41">
        <f>MAX(P10:P114)</f>
        <v>64</v>
      </c>
      <c r="R5" s="41" t="s">
        <v>69</v>
      </c>
    </row>
    <row r="6" spans="1:25" x14ac:dyDescent="0.25">
      <c r="P6" s="41" t="s">
        <v>274</v>
      </c>
      <c r="Q6" s="41">
        <f>MAX(Q10:Q114)</f>
        <v>64</v>
      </c>
      <c r="R6" s="41" t="s">
        <v>69</v>
      </c>
    </row>
    <row r="7" spans="1:25" x14ac:dyDescent="0.25">
      <c r="A7" s="109" t="s">
        <v>132</v>
      </c>
      <c r="B7" s="110" t="s">
        <v>103</v>
      </c>
      <c r="C7" s="110" t="s">
        <v>104</v>
      </c>
      <c r="D7" s="110"/>
      <c r="E7" s="110" t="s">
        <v>476</v>
      </c>
      <c r="F7" s="110" t="s">
        <v>255</v>
      </c>
      <c r="G7" s="110" t="s">
        <v>234</v>
      </c>
      <c r="H7" s="110" t="s">
        <v>130</v>
      </c>
      <c r="I7" s="110" t="s">
        <v>233</v>
      </c>
      <c r="J7" s="111" t="s">
        <v>115</v>
      </c>
      <c r="K7" s="111" t="s">
        <v>300</v>
      </c>
      <c r="L7" s="109" t="s">
        <v>235</v>
      </c>
      <c r="M7" s="109" t="s">
        <v>267</v>
      </c>
      <c r="N7" s="109" t="s">
        <v>299</v>
      </c>
      <c r="O7" s="109" t="s">
        <v>268</v>
      </c>
      <c r="P7" s="41" t="s">
        <v>269</v>
      </c>
      <c r="Q7" s="41" t="s">
        <v>270</v>
      </c>
    </row>
    <row r="8" spans="1:25" x14ac:dyDescent="0.25">
      <c r="A8" s="109"/>
      <c r="B8" s="110"/>
      <c r="C8" s="110"/>
      <c r="D8" s="110"/>
      <c r="E8" s="110"/>
      <c r="F8" s="110"/>
      <c r="G8" s="110"/>
      <c r="H8" s="110"/>
      <c r="I8" s="110"/>
      <c r="J8" s="111"/>
      <c r="K8" s="150">
        <v>-10</v>
      </c>
      <c r="L8" s="109"/>
      <c r="M8" s="109"/>
      <c r="N8" s="109"/>
      <c r="O8" s="41">
        <v>0</v>
      </c>
    </row>
    <row r="9" spans="1:25" x14ac:dyDescent="0.25">
      <c r="A9" s="109"/>
      <c r="B9" s="110"/>
      <c r="C9" s="110"/>
      <c r="D9" s="110"/>
      <c r="E9" s="110"/>
      <c r="F9" s="110"/>
      <c r="G9" s="110"/>
      <c r="H9" s="110"/>
      <c r="I9" s="110"/>
      <c r="J9" s="111"/>
      <c r="K9" s="51">
        <v>-0.01</v>
      </c>
      <c r="L9" s="109"/>
      <c r="M9" s="109"/>
      <c r="N9" s="109"/>
      <c r="O9" s="41">
        <v>0</v>
      </c>
    </row>
    <row r="10" spans="1:25" x14ac:dyDescent="0.25">
      <c r="A10" s="41">
        <f t="shared" ref="A10:A41" si="0">VINMAX</f>
        <v>16</v>
      </c>
      <c r="B10" s="44">
        <f t="shared" ref="B10:B41" si="1">VINMAX*((ROW()-10)/104)</f>
        <v>0</v>
      </c>
      <c r="C10" s="42">
        <f t="shared" ref="C10:C41" si="2">IF(B10&gt;=$H$2,IF($D$2="CC", $G$2, B10/$G$2), 0)</f>
        <v>0</v>
      </c>
      <c r="D10" s="40"/>
      <c r="E10" s="42">
        <f>((('Device Parmaters'!$D$35)*COUTMAX)/(1000*'Design Calculator'!$F$69))+C10</f>
        <v>11</v>
      </c>
      <c r="F10" s="42">
        <f>I_Cout_ss+C10</f>
        <v>0.55000000000000004</v>
      </c>
      <c r="G10" s="40">
        <f>IF($F$2="YES", F10, E10)</f>
        <v>0.55000000000000004</v>
      </c>
      <c r="H10" s="42">
        <f t="shared" ref="H10:H41" si="3">G10-C10</f>
        <v>0.55000000000000004</v>
      </c>
      <c r="I10" s="43">
        <f>(COUTMAX/1000000)*(B10)/H10</f>
        <v>0</v>
      </c>
      <c r="J10" s="50">
        <f>I10</f>
        <v>0</v>
      </c>
      <c r="K10" s="150">
        <f>J10*1000</f>
        <v>0</v>
      </c>
      <c r="L10" s="112">
        <f>H10/G10</f>
        <v>1</v>
      </c>
      <c r="M10" s="41">
        <f t="shared" ref="M10:M41" si="4">1/COUTMAX*(E10/2-C10)*1000</f>
        <v>55</v>
      </c>
      <c r="N10" s="41">
        <f>I10*G10*(A10-B10)</f>
        <v>0</v>
      </c>
      <c r="O10" s="41">
        <f>G10*(A10-B10)</f>
        <v>8.8000000000000007</v>
      </c>
      <c r="P10" s="41">
        <f t="shared" ref="P10:P41" si="5">(A10-B10)*(I_Cout_ss*$Q$2+C10)</f>
        <v>0</v>
      </c>
      <c r="Q10" s="41">
        <f t="shared" ref="Q10:Q41" si="6">(A10-B10)*(I_Cout_ss*$R$2+C10)</f>
        <v>0</v>
      </c>
    </row>
    <row r="11" spans="1:25" x14ac:dyDescent="0.25">
      <c r="A11" s="41">
        <f t="shared" si="0"/>
        <v>16</v>
      </c>
      <c r="B11" s="44">
        <f t="shared" si="1"/>
        <v>0.15384615384615385</v>
      </c>
      <c r="C11" s="42">
        <f t="shared" si="2"/>
        <v>0</v>
      </c>
      <c r="D11" s="40"/>
      <c r="E11" s="42">
        <f>((('Device Parmaters'!$D$35)*COUTMAX)/(1000*'Design Calculator'!$F$69))+C11</f>
        <v>11</v>
      </c>
      <c r="F11" s="42">
        <f t="shared" ref="F11:F41" si="7">I_Cout_ss+C11</f>
        <v>0.55000000000000004</v>
      </c>
      <c r="G11" s="40">
        <f t="shared" ref="G11:G74" si="8">IF($F$2="YES", F11, E11)</f>
        <v>0.55000000000000004</v>
      </c>
      <c r="H11" s="42">
        <f t="shared" si="3"/>
        <v>0.55000000000000004</v>
      </c>
      <c r="I11" s="43">
        <f t="shared" ref="I11:I42" si="9">(COUTMAX/1000000)*(B11-B10)/H11</f>
        <v>2.7972027972027976E-5</v>
      </c>
      <c r="J11" s="50">
        <f>J10+I11</f>
        <v>2.7972027972027976E-5</v>
      </c>
      <c r="K11" s="150">
        <f t="shared" ref="K11:K74" si="10">J11*1000</f>
        <v>2.7972027972027975E-2</v>
      </c>
      <c r="L11" s="112">
        <f t="shared" ref="L11:L74" si="11">H11/G11</f>
        <v>1</v>
      </c>
      <c r="M11" s="41">
        <f t="shared" si="4"/>
        <v>55</v>
      </c>
      <c r="N11" s="41">
        <f>I11*G11*(A11-B11)</f>
        <v>2.4378698224852076E-4</v>
      </c>
      <c r="O11" s="41">
        <f>G11*(A11-B11)</f>
        <v>8.7153846153846164</v>
      </c>
      <c r="P11" s="41">
        <f t="shared" si="5"/>
        <v>0</v>
      </c>
      <c r="Q11" s="41">
        <f t="shared" si="6"/>
        <v>0</v>
      </c>
    </row>
    <row r="12" spans="1:25" x14ac:dyDescent="0.25">
      <c r="A12" s="41">
        <f t="shared" si="0"/>
        <v>16</v>
      </c>
      <c r="B12" s="44">
        <f t="shared" si="1"/>
        <v>0.30769230769230771</v>
      </c>
      <c r="C12" s="42">
        <f t="shared" si="2"/>
        <v>0</v>
      </c>
      <c r="D12" s="40"/>
      <c r="E12" s="42">
        <f>((('Device Parmaters'!$D$35)*COUTMAX)/(1000*'Design Calculator'!$F$69))+C12</f>
        <v>11</v>
      </c>
      <c r="F12" s="42">
        <f t="shared" si="7"/>
        <v>0.55000000000000004</v>
      </c>
      <c r="G12" s="40">
        <f t="shared" si="8"/>
        <v>0.55000000000000004</v>
      </c>
      <c r="H12" s="42">
        <f t="shared" si="3"/>
        <v>0.55000000000000004</v>
      </c>
      <c r="I12" s="43">
        <f t="shared" si="9"/>
        <v>2.7972027972027976E-5</v>
      </c>
      <c r="J12" s="50">
        <f t="shared" ref="J12:J75" si="12">J11+I12</f>
        <v>5.5944055944055952E-5</v>
      </c>
      <c r="K12" s="150">
        <f t="shared" si="10"/>
        <v>5.5944055944055951E-2</v>
      </c>
      <c r="L12" s="112">
        <f t="shared" si="11"/>
        <v>1</v>
      </c>
      <c r="M12" s="41">
        <f t="shared" si="4"/>
        <v>55</v>
      </c>
      <c r="N12" s="41">
        <f>I12*G12*(A12-B12)</f>
        <v>2.414201183431953E-4</v>
      </c>
      <c r="O12" s="41">
        <f t="shared" ref="O12:O74" si="13">G12*(A12-B12)</f>
        <v>8.6307692307692303</v>
      </c>
      <c r="P12" s="41">
        <f t="shared" si="5"/>
        <v>0</v>
      </c>
      <c r="Q12" s="41">
        <f t="shared" si="6"/>
        <v>0</v>
      </c>
      <c r="X12" s="325" t="s">
        <v>105</v>
      </c>
      <c r="Y12" s="325"/>
    </row>
    <row r="13" spans="1:25" x14ac:dyDescent="0.25">
      <c r="A13" s="41">
        <f t="shared" si="0"/>
        <v>16</v>
      </c>
      <c r="B13" s="44">
        <f t="shared" si="1"/>
        <v>0.46153846153846156</v>
      </c>
      <c r="C13" s="42">
        <f t="shared" si="2"/>
        <v>0</v>
      </c>
      <c r="D13" s="40"/>
      <c r="E13" s="42">
        <f>((('Device Parmaters'!$D$35)*COUTMAX)/(1000*'Design Calculator'!$F$69))+C13</f>
        <v>11</v>
      </c>
      <c r="F13" s="42">
        <f t="shared" si="7"/>
        <v>0.55000000000000004</v>
      </c>
      <c r="G13" s="40">
        <f>IF($F$2="YES", F13, E13)</f>
        <v>0.55000000000000004</v>
      </c>
      <c r="H13" s="42">
        <f t="shared" si="3"/>
        <v>0.55000000000000004</v>
      </c>
      <c r="I13" s="43">
        <f t="shared" si="9"/>
        <v>2.7972027972027976E-5</v>
      </c>
      <c r="J13" s="50">
        <f t="shared" si="12"/>
        <v>8.3916083916083921E-5</v>
      </c>
      <c r="K13" s="150">
        <f t="shared" si="10"/>
        <v>8.3916083916083919E-2</v>
      </c>
      <c r="L13" s="112">
        <f t="shared" si="11"/>
        <v>1</v>
      </c>
      <c r="M13" s="41">
        <f t="shared" si="4"/>
        <v>55</v>
      </c>
      <c r="N13" s="41">
        <f>I13*G13*(A13-B13)</f>
        <v>2.3905325443786986E-4</v>
      </c>
      <c r="O13" s="41">
        <f t="shared" si="13"/>
        <v>8.546153846153846</v>
      </c>
      <c r="P13" s="41">
        <f t="shared" si="5"/>
        <v>0</v>
      </c>
      <c r="Q13" s="41">
        <f t="shared" si="6"/>
        <v>0</v>
      </c>
      <c r="X13" s="45" t="s">
        <v>106</v>
      </c>
      <c r="Y13" s="46">
        <v>0.3</v>
      </c>
    </row>
    <row r="14" spans="1:25" x14ac:dyDescent="0.25">
      <c r="A14" s="41">
        <f t="shared" si="0"/>
        <v>16</v>
      </c>
      <c r="B14" s="44">
        <f t="shared" si="1"/>
        <v>0.61538461538461542</v>
      </c>
      <c r="C14" s="42">
        <f t="shared" si="2"/>
        <v>0</v>
      </c>
      <c r="D14" s="40"/>
      <c r="E14" s="42">
        <f>((('Device Parmaters'!$D$35)*COUTMAX)/(1000*'Design Calculator'!$F$69))+C14</f>
        <v>11</v>
      </c>
      <c r="F14" s="42">
        <f t="shared" si="7"/>
        <v>0.55000000000000004</v>
      </c>
      <c r="G14" s="40">
        <f t="shared" si="8"/>
        <v>0.55000000000000004</v>
      </c>
      <c r="H14" s="42">
        <f t="shared" si="3"/>
        <v>0.55000000000000004</v>
      </c>
      <c r="I14" s="43">
        <f t="shared" si="9"/>
        <v>2.7972027972027976E-5</v>
      </c>
      <c r="J14" s="50">
        <f t="shared" si="12"/>
        <v>1.118881118881119E-4</v>
      </c>
      <c r="K14" s="150">
        <f t="shared" si="10"/>
        <v>0.1118881118881119</v>
      </c>
      <c r="L14" s="112">
        <f t="shared" si="11"/>
        <v>1</v>
      </c>
      <c r="M14" s="41">
        <f t="shared" si="4"/>
        <v>55</v>
      </c>
      <c r="N14" s="41">
        <f t="shared" ref="N14:N74" si="14">I14*G14*(A14-B14)</f>
        <v>2.3668639053254443E-4</v>
      </c>
      <c r="O14" s="41">
        <f t="shared" si="13"/>
        <v>8.4615384615384617</v>
      </c>
      <c r="P14" s="41">
        <f t="shared" si="5"/>
        <v>0</v>
      </c>
      <c r="Q14" s="41">
        <f t="shared" si="6"/>
        <v>0</v>
      </c>
      <c r="X14" s="45" t="s">
        <v>107</v>
      </c>
      <c r="Y14" s="46">
        <v>0.3</v>
      </c>
    </row>
    <row r="15" spans="1:25" x14ac:dyDescent="0.25">
      <c r="A15" s="41">
        <f t="shared" si="0"/>
        <v>16</v>
      </c>
      <c r="B15" s="44">
        <f t="shared" si="1"/>
        <v>0.76923076923076927</v>
      </c>
      <c r="C15" s="42">
        <f t="shared" si="2"/>
        <v>0</v>
      </c>
      <c r="D15" s="40"/>
      <c r="E15" s="42">
        <f>((('Device Parmaters'!$D$35)*COUTMAX)/(1000*'Design Calculator'!$F$69))+C15</f>
        <v>11</v>
      </c>
      <c r="F15" s="42">
        <f t="shared" si="7"/>
        <v>0.55000000000000004</v>
      </c>
      <c r="G15" s="40">
        <f t="shared" si="8"/>
        <v>0.55000000000000004</v>
      </c>
      <c r="H15" s="42">
        <f t="shared" si="3"/>
        <v>0.55000000000000004</v>
      </c>
      <c r="I15" s="43">
        <f t="shared" si="9"/>
        <v>2.7972027972027976E-5</v>
      </c>
      <c r="J15" s="50">
        <f t="shared" si="12"/>
        <v>1.3986013986013989E-4</v>
      </c>
      <c r="K15" s="150">
        <f t="shared" si="10"/>
        <v>0.1398601398601399</v>
      </c>
      <c r="L15" s="112">
        <f t="shared" si="11"/>
        <v>1</v>
      </c>
      <c r="M15" s="41">
        <f t="shared" si="4"/>
        <v>55</v>
      </c>
      <c r="N15" s="41">
        <f t="shared" si="14"/>
        <v>2.3431952662721897E-4</v>
      </c>
      <c r="O15" s="41">
        <f t="shared" si="13"/>
        <v>8.3769230769230774</v>
      </c>
      <c r="P15" s="41">
        <f t="shared" si="5"/>
        <v>0</v>
      </c>
      <c r="Q15" s="41">
        <f t="shared" si="6"/>
        <v>0</v>
      </c>
      <c r="X15" s="45" t="s">
        <v>108</v>
      </c>
      <c r="Y15" s="46">
        <f>SQRT(Y14^2+Y13^2)</f>
        <v>0.42426406871192851</v>
      </c>
    </row>
    <row r="16" spans="1:25" x14ac:dyDescent="0.25">
      <c r="A16" s="41">
        <f t="shared" si="0"/>
        <v>16</v>
      </c>
      <c r="B16" s="44">
        <f t="shared" si="1"/>
        <v>0.92307692307692313</v>
      </c>
      <c r="C16" s="42">
        <f t="shared" si="2"/>
        <v>0</v>
      </c>
      <c r="D16" s="40"/>
      <c r="E16" s="42">
        <f>((('Device Parmaters'!$D$35)*COUTMAX)/(1000*'Design Calculator'!$F$69))+C16</f>
        <v>11</v>
      </c>
      <c r="F16" s="42">
        <f t="shared" si="7"/>
        <v>0.55000000000000004</v>
      </c>
      <c r="G16" s="40">
        <f t="shared" si="8"/>
        <v>0.55000000000000004</v>
      </c>
      <c r="H16" s="42">
        <f t="shared" si="3"/>
        <v>0.55000000000000004</v>
      </c>
      <c r="I16" s="43">
        <f t="shared" si="9"/>
        <v>2.7972027972027976E-5</v>
      </c>
      <c r="J16" s="50">
        <f t="shared" si="12"/>
        <v>1.6783216783216787E-4</v>
      </c>
      <c r="K16" s="150">
        <f t="shared" si="10"/>
        <v>0.16783216783216787</v>
      </c>
      <c r="L16" s="112">
        <f t="shared" si="11"/>
        <v>1</v>
      </c>
      <c r="M16" s="41">
        <f t="shared" si="4"/>
        <v>55</v>
      </c>
      <c r="N16" s="41">
        <f t="shared" si="14"/>
        <v>2.3195266272189353E-4</v>
      </c>
      <c r="O16" s="41">
        <f t="shared" si="13"/>
        <v>8.292307692307693</v>
      </c>
      <c r="P16" s="41">
        <f t="shared" si="5"/>
        <v>0</v>
      </c>
      <c r="Q16" s="41">
        <f t="shared" si="6"/>
        <v>0</v>
      </c>
      <c r="X16" s="46"/>
      <c r="Y16" s="46"/>
    </row>
    <row r="17" spans="1:25" x14ac:dyDescent="0.25">
      <c r="A17" s="41">
        <f t="shared" si="0"/>
        <v>16</v>
      </c>
      <c r="B17" s="44">
        <f t="shared" si="1"/>
        <v>1.0769230769230769</v>
      </c>
      <c r="C17" s="42">
        <f t="shared" si="2"/>
        <v>0</v>
      </c>
      <c r="D17" s="40"/>
      <c r="E17" s="42">
        <f>((('Device Parmaters'!$D$35)*COUTMAX)/(1000*'Design Calculator'!$F$69))+C17</f>
        <v>11</v>
      </c>
      <c r="F17" s="42">
        <f t="shared" si="7"/>
        <v>0.55000000000000004</v>
      </c>
      <c r="G17" s="40">
        <f t="shared" si="8"/>
        <v>0.55000000000000004</v>
      </c>
      <c r="H17" s="42">
        <f t="shared" si="3"/>
        <v>0.55000000000000004</v>
      </c>
      <c r="I17" s="43">
        <f t="shared" si="9"/>
        <v>2.7972027972027949E-5</v>
      </c>
      <c r="J17" s="50">
        <f t="shared" si="12"/>
        <v>1.9580419580419583E-4</v>
      </c>
      <c r="K17" s="150">
        <f t="shared" si="10"/>
        <v>0.19580419580419584</v>
      </c>
      <c r="L17" s="112">
        <f t="shared" si="11"/>
        <v>1</v>
      </c>
      <c r="M17" s="41">
        <f t="shared" si="4"/>
        <v>55</v>
      </c>
      <c r="N17" s="41">
        <f t="shared" si="14"/>
        <v>2.2958579881656788E-4</v>
      </c>
      <c r="O17" s="41">
        <f t="shared" si="13"/>
        <v>8.2076923076923087</v>
      </c>
      <c r="P17" s="41">
        <f t="shared" si="5"/>
        <v>0</v>
      </c>
      <c r="Q17" s="41">
        <f t="shared" si="6"/>
        <v>0</v>
      </c>
      <c r="X17" s="45" t="s">
        <v>109</v>
      </c>
      <c r="Y17" s="46">
        <v>0.3</v>
      </c>
    </row>
    <row r="18" spans="1:25" x14ac:dyDescent="0.25">
      <c r="A18" s="41">
        <f t="shared" si="0"/>
        <v>16</v>
      </c>
      <c r="B18" s="44">
        <f t="shared" si="1"/>
        <v>1.2307692307692308</v>
      </c>
      <c r="C18" s="42">
        <f t="shared" si="2"/>
        <v>0</v>
      </c>
      <c r="D18" s="40"/>
      <c r="E18" s="42">
        <f>((('Device Parmaters'!$D$35)*COUTMAX)/(1000*'Design Calculator'!$F$69))+C18</f>
        <v>11</v>
      </c>
      <c r="F18" s="42">
        <f t="shared" si="7"/>
        <v>0.55000000000000004</v>
      </c>
      <c r="G18" s="40">
        <f t="shared" si="8"/>
        <v>0.55000000000000004</v>
      </c>
      <c r="H18" s="42">
        <f t="shared" si="3"/>
        <v>0.55000000000000004</v>
      </c>
      <c r="I18" s="43">
        <f t="shared" si="9"/>
        <v>2.7972027972027993E-5</v>
      </c>
      <c r="J18" s="50">
        <f t="shared" si="12"/>
        <v>2.2377622377622381E-4</v>
      </c>
      <c r="K18" s="150">
        <f t="shared" si="10"/>
        <v>0.2237762237762238</v>
      </c>
      <c r="L18" s="112">
        <f t="shared" si="11"/>
        <v>1</v>
      </c>
      <c r="M18" s="41">
        <f t="shared" si="4"/>
        <v>55</v>
      </c>
      <c r="N18" s="41">
        <f t="shared" si="14"/>
        <v>2.272189349112428E-4</v>
      </c>
      <c r="O18" s="41">
        <f t="shared" si="13"/>
        <v>8.1230769230769244</v>
      </c>
      <c r="P18" s="41">
        <f t="shared" si="5"/>
        <v>0</v>
      </c>
      <c r="Q18" s="41">
        <f t="shared" si="6"/>
        <v>0</v>
      </c>
      <c r="X18" s="45" t="s">
        <v>110</v>
      </c>
      <c r="Y18" s="46">
        <f>MAX(Y15:Y17)</f>
        <v>0.42426406871192851</v>
      </c>
    </row>
    <row r="19" spans="1:25" x14ac:dyDescent="0.25">
      <c r="A19" s="41">
        <f t="shared" si="0"/>
        <v>16</v>
      </c>
      <c r="B19" s="44">
        <f t="shared" si="1"/>
        <v>1.3846153846153846</v>
      </c>
      <c r="C19" s="42">
        <f t="shared" si="2"/>
        <v>0</v>
      </c>
      <c r="D19" s="40"/>
      <c r="E19" s="42">
        <f>((('Device Parmaters'!$D$35)*COUTMAX)/(1000*'Design Calculator'!$F$69))+C19</f>
        <v>11</v>
      </c>
      <c r="F19" s="42">
        <f t="shared" si="7"/>
        <v>0.55000000000000004</v>
      </c>
      <c r="G19" s="40">
        <f t="shared" si="8"/>
        <v>0.55000000000000004</v>
      </c>
      <c r="H19" s="42">
        <f t="shared" si="3"/>
        <v>0.55000000000000004</v>
      </c>
      <c r="I19" s="43">
        <f t="shared" si="9"/>
        <v>2.7972027972027949E-5</v>
      </c>
      <c r="J19" s="50">
        <f t="shared" si="12"/>
        <v>2.5174825174825174E-4</v>
      </c>
      <c r="K19" s="150">
        <f t="shared" si="10"/>
        <v>0.25174825174825172</v>
      </c>
      <c r="L19" s="112">
        <f t="shared" si="11"/>
        <v>1</v>
      </c>
      <c r="M19" s="41">
        <f t="shared" si="4"/>
        <v>55</v>
      </c>
      <c r="N19" s="41">
        <f t="shared" si="14"/>
        <v>2.2485207100591699E-4</v>
      </c>
      <c r="O19" s="41">
        <f t="shared" si="13"/>
        <v>8.0384615384615383</v>
      </c>
      <c r="P19" s="41">
        <f t="shared" si="5"/>
        <v>0</v>
      </c>
      <c r="Q19" s="41">
        <f t="shared" si="6"/>
        <v>0</v>
      </c>
      <c r="X19" s="46"/>
      <c r="Y19" s="46"/>
    </row>
    <row r="20" spans="1:25" x14ac:dyDescent="0.25">
      <c r="A20" s="41">
        <f t="shared" si="0"/>
        <v>16</v>
      </c>
      <c r="B20" s="44">
        <f t="shared" si="1"/>
        <v>1.5384615384615385</v>
      </c>
      <c r="C20" s="42">
        <f t="shared" si="2"/>
        <v>0</v>
      </c>
      <c r="D20" s="40"/>
      <c r="E20" s="42">
        <f>((('Device Parmaters'!$D$35)*COUTMAX)/(1000*'Design Calculator'!$F$69))+C20</f>
        <v>11</v>
      </c>
      <c r="F20" s="42">
        <f t="shared" si="7"/>
        <v>0.55000000000000004</v>
      </c>
      <c r="G20" s="40">
        <f t="shared" si="8"/>
        <v>0.55000000000000004</v>
      </c>
      <c r="H20" s="42">
        <f t="shared" si="3"/>
        <v>0.55000000000000004</v>
      </c>
      <c r="I20" s="43">
        <f t="shared" si="9"/>
        <v>2.7972027972027993E-5</v>
      </c>
      <c r="J20" s="50">
        <f t="shared" si="12"/>
        <v>2.7972027972027972E-4</v>
      </c>
      <c r="K20" s="150">
        <f t="shared" si="10"/>
        <v>0.27972027972027974</v>
      </c>
      <c r="L20" s="112">
        <f t="shared" si="11"/>
        <v>1</v>
      </c>
      <c r="M20" s="41">
        <f t="shared" si="4"/>
        <v>55</v>
      </c>
      <c r="N20" s="41">
        <f t="shared" si="14"/>
        <v>2.2248520710059191E-4</v>
      </c>
      <c r="O20" s="41">
        <f t="shared" si="13"/>
        <v>7.9538461538461549</v>
      </c>
      <c r="P20" s="41">
        <f t="shared" si="5"/>
        <v>0</v>
      </c>
      <c r="Q20" s="41">
        <f t="shared" si="6"/>
        <v>0</v>
      </c>
      <c r="X20" s="45" t="s">
        <v>111</v>
      </c>
      <c r="Y20" s="46">
        <v>0.2</v>
      </c>
    </row>
    <row r="21" spans="1:25" x14ac:dyDescent="0.25">
      <c r="A21" s="41">
        <f t="shared" si="0"/>
        <v>16</v>
      </c>
      <c r="B21" s="44">
        <f t="shared" si="1"/>
        <v>1.6923076923076923</v>
      </c>
      <c r="C21" s="42">
        <f t="shared" si="2"/>
        <v>0</v>
      </c>
      <c r="D21" s="40"/>
      <c r="E21" s="42">
        <f>((('Device Parmaters'!$D$35)*COUTMAX)/(1000*'Design Calculator'!$F$69))+C21</f>
        <v>11</v>
      </c>
      <c r="F21" s="42">
        <f t="shared" si="7"/>
        <v>0.55000000000000004</v>
      </c>
      <c r="G21" s="40">
        <f t="shared" si="8"/>
        <v>0.55000000000000004</v>
      </c>
      <c r="H21" s="42">
        <f t="shared" si="3"/>
        <v>0.55000000000000004</v>
      </c>
      <c r="I21" s="43">
        <f t="shared" si="9"/>
        <v>2.7972027972027949E-5</v>
      </c>
      <c r="J21" s="50">
        <f t="shared" si="12"/>
        <v>3.0769230769230765E-4</v>
      </c>
      <c r="K21" s="150">
        <f t="shared" si="10"/>
        <v>0.30769230769230765</v>
      </c>
      <c r="L21" s="112">
        <f t="shared" si="11"/>
        <v>1</v>
      </c>
      <c r="M21" s="41">
        <f t="shared" si="4"/>
        <v>55</v>
      </c>
      <c r="N21" s="41">
        <f t="shared" si="14"/>
        <v>2.2011834319526612E-4</v>
      </c>
      <c r="O21" s="41">
        <f t="shared" si="13"/>
        <v>7.8692307692307706</v>
      </c>
      <c r="P21" s="41">
        <f t="shared" si="5"/>
        <v>0</v>
      </c>
      <c r="Q21" s="41">
        <f t="shared" si="6"/>
        <v>0</v>
      </c>
      <c r="X21" s="45" t="s">
        <v>112</v>
      </c>
      <c r="Y21" s="46">
        <v>0.2</v>
      </c>
    </row>
    <row r="22" spans="1:25" x14ac:dyDescent="0.25">
      <c r="A22" s="41">
        <f t="shared" si="0"/>
        <v>16</v>
      </c>
      <c r="B22" s="44">
        <f t="shared" si="1"/>
        <v>1.8461538461538463</v>
      </c>
      <c r="C22" s="42">
        <f t="shared" si="2"/>
        <v>0</v>
      </c>
      <c r="D22" s="40"/>
      <c r="E22" s="42">
        <f>((('Device Parmaters'!$D$35)*COUTMAX)/(1000*'Design Calculator'!$F$69))+C22</f>
        <v>11</v>
      </c>
      <c r="F22" s="42">
        <f t="shared" si="7"/>
        <v>0.55000000000000004</v>
      </c>
      <c r="G22" s="40">
        <f t="shared" si="8"/>
        <v>0.55000000000000004</v>
      </c>
      <c r="H22" s="42">
        <f t="shared" si="3"/>
        <v>0.55000000000000004</v>
      </c>
      <c r="I22" s="43">
        <f t="shared" si="9"/>
        <v>2.7972027972027993E-5</v>
      </c>
      <c r="J22" s="50">
        <f t="shared" si="12"/>
        <v>3.3566433566433563E-4</v>
      </c>
      <c r="K22" s="150">
        <f t="shared" si="10"/>
        <v>0.33566433566433562</v>
      </c>
      <c r="L22" s="112">
        <f t="shared" si="11"/>
        <v>1</v>
      </c>
      <c r="M22" s="41">
        <f t="shared" si="4"/>
        <v>55</v>
      </c>
      <c r="N22" s="41">
        <f t="shared" si="14"/>
        <v>2.1775147928994101E-4</v>
      </c>
      <c r="O22" s="41">
        <f t="shared" si="13"/>
        <v>7.7846153846153854</v>
      </c>
      <c r="P22" s="41">
        <f t="shared" si="5"/>
        <v>0</v>
      </c>
      <c r="Q22" s="41">
        <f t="shared" si="6"/>
        <v>0</v>
      </c>
      <c r="X22" s="45" t="s">
        <v>108</v>
      </c>
      <c r="Y22" s="46">
        <f>SQRT(Y21^2+Y20^2)</f>
        <v>0.28284271247461906</v>
      </c>
    </row>
    <row r="23" spans="1:25" x14ac:dyDescent="0.25">
      <c r="A23" s="41">
        <f t="shared" si="0"/>
        <v>16</v>
      </c>
      <c r="B23" s="44">
        <f t="shared" si="1"/>
        <v>2</v>
      </c>
      <c r="C23" s="42">
        <f t="shared" si="2"/>
        <v>0</v>
      </c>
      <c r="D23" s="40"/>
      <c r="E23" s="42">
        <f>((('Device Parmaters'!$D$35)*COUTMAX)/(1000*'Design Calculator'!$F$69))+C23</f>
        <v>11</v>
      </c>
      <c r="F23" s="42">
        <f t="shared" si="7"/>
        <v>0.55000000000000004</v>
      </c>
      <c r="G23" s="40">
        <f t="shared" si="8"/>
        <v>0.55000000000000004</v>
      </c>
      <c r="H23" s="42">
        <f t="shared" si="3"/>
        <v>0.55000000000000004</v>
      </c>
      <c r="I23" s="43">
        <f t="shared" si="9"/>
        <v>2.7972027972027949E-5</v>
      </c>
      <c r="J23" s="50">
        <f t="shared" si="12"/>
        <v>3.6363636363636356E-4</v>
      </c>
      <c r="K23" s="150">
        <f t="shared" si="10"/>
        <v>0.36363636363636354</v>
      </c>
      <c r="L23" s="112">
        <f t="shared" si="11"/>
        <v>1</v>
      </c>
      <c r="M23" s="41">
        <f t="shared" si="4"/>
        <v>55</v>
      </c>
      <c r="N23" s="41">
        <f t="shared" si="14"/>
        <v>2.1538461538461522E-4</v>
      </c>
      <c r="O23" s="41">
        <f t="shared" si="13"/>
        <v>7.7000000000000011</v>
      </c>
      <c r="P23" s="41">
        <f t="shared" si="5"/>
        <v>0</v>
      </c>
      <c r="Q23" s="41">
        <f t="shared" si="6"/>
        <v>0</v>
      </c>
      <c r="X23" s="46"/>
      <c r="Y23" s="46"/>
    </row>
    <row r="24" spans="1:25" x14ac:dyDescent="0.25">
      <c r="A24" s="41">
        <f t="shared" si="0"/>
        <v>16</v>
      </c>
      <c r="B24" s="44">
        <f t="shared" si="1"/>
        <v>2.1538461538461537</v>
      </c>
      <c r="C24" s="42">
        <f t="shared" si="2"/>
        <v>0</v>
      </c>
      <c r="D24" s="40"/>
      <c r="E24" s="42">
        <f>((('Device Parmaters'!$D$35)*COUTMAX)/(1000*'Design Calculator'!$F$69))+C24</f>
        <v>11</v>
      </c>
      <c r="F24" s="42">
        <f t="shared" si="7"/>
        <v>0.55000000000000004</v>
      </c>
      <c r="G24" s="40">
        <f t="shared" si="8"/>
        <v>0.55000000000000004</v>
      </c>
      <c r="H24" s="42">
        <f t="shared" si="3"/>
        <v>0.55000000000000004</v>
      </c>
      <c r="I24" s="43">
        <f t="shared" si="9"/>
        <v>2.7972027972027949E-5</v>
      </c>
      <c r="J24" s="50">
        <f t="shared" si="12"/>
        <v>3.9160839160839149E-4</v>
      </c>
      <c r="K24" s="150">
        <f t="shared" si="10"/>
        <v>0.3916083916083915</v>
      </c>
      <c r="L24" s="112">
        <f t="shared" si="11"/>
        <v>1</v>
      </c>
      <c r="M24" s="41">
        <f t="shared" si="4"/>
        <v>55</v>
      </c>
      <c r="N24" s="41">
        <f t="shared" si="14"/>
        <v>2.1301775147928979E-4</v>
      </c>
      <c r="O24" s="41">
        <f t="shared" si="13"/>
        <v>7.6153846153846159</v>
      </c>
      <c r="P24" s="41">
        <f t="shared" si="5"/>
        <v>0</v>
      </c>
      <c r="Q24" s="41">
        <f t="shared" si="6"/>
        <v>0</v>
      </c>
      <c r="X24" s="45" t="s">
        <v>113</v>
      </c>
      <c r="Y24" s="46">
        <f>SQRT(Y18^2+Y22^2)</f>
        <v>0.50990195135927852</v>
      </c>
    </row>
    <row r="25" spans="1:25" x14ac:dyDescent="0.25">
      <c r="A25" s="41">
        <f t="shared" si="0"/>
        <v>16</v>
      </c>
      <c r="B25" s="44">
        <f t="shared" si="1"/>
        <v>2.3076923076923075</v>
      </c>
      <c r="C25" s="42">
        <f t="shared" si="2"/>
        <v>0</v>
      </c>
      <c r="D25" s="40"/>
      <c r="E25" s="42">
        <f>((('Device Parmaters'!$D$35)*COUTMAX)/(1000*'Design Calculator'!$F$69))+C25</f>
        <v>11</v>
      </c>
      <c r="F25" s="42">
        <f t="shared" si="7"/>
        <v>0.55000000000000004</v>
      </c>
      <c r="G25" s="40">
        <f t="shared" si="8"/>
        <v>0.55000000000000004</v>
      </c>
      <c r="H25" s="42">
        <f t="shared" si="3"/>
        <v>0.55000000000000004</v>
      </c>
      <c r="I25" s="43">
        <f t="shared" si="9"/>
        <v>2.7972027972027949E-5</v>
      </c>
      <c r="J25" s="50">
        <f t="shared" si="12"/>
        <v>4.1958041958041942E-4</v>
      </c>
      <c r="K25" s="150">
        <f t="shared" si="10"/>
        <v>0.41958041958041942</v>
      </c>
      <c r="L25" s="112">
        <f t="shared" si="11"/>
        <v>1</v>
      </c>
      <c r="M25" s="41">
        <f t="shared" si="4"/>
        <v>55</v>
      </c>
      <c r="N25" s="41">
        <f t="shared" si="14"/>
        <v>2.1065088757396436E-4</v>
      </c>
      <c r="O25" s="41">
        <f t="shared" si="13"/>
        <v>7.5307692307692315</v>
      </c>
      <c r="P25" s="41">
        <f t="shared" si="5"/>
        <v>0</v>
      </c>
      <c r="Q25" s="41">
        <f t="shared" si="6"/>
        <v>0</v>
      </c>
    </row>
    <row r="26" spans="1:25" x14ac:dyDescent="0.25">
      <c r="A26" s="41">
        <f t="shared" si="0"/>
        <v>16</v>
      </c>
      <c r="B26" s="44">
        <f t="shared" si="1"/>
        <v>2.4615384615384617</v>
      </c>
      <c r="C26" s="42">
        <f t="shared" si="2"/>
        <v>0</v>
      </c>
      <c r="D26" s="40"/>
      <c r="E26" s="42">
        <f>((('Device Parmaters'!$D$35)*COUTMAX)/(1000*'Design Calculator'!$F$69))+C26</f>
        <v>11</v>
      </c>
      <c r="F26" s="42">
        <f t="shared" si="7"/>
        <v>0.55000000000000004</v>
      </c>
      <c r="G26" s="40">
        <f t="shared" si="8"/>
        <v>0.55000000000000004</v>
      </c>
      <c r="H26" s="42">
        <f t="shared" si="3"/>
        <v>0.55000000000000004</v>
      </c>
      <c r="I26" s="43">
        <f t="shared" si="9"/>
        <v>2.7972027972028037E-5</v>
      </c>
      <c r="J26" s="50">
        <f t="shared" si="12"/>
        <v>4.4755244755244745E-4</v>
      </c>
      <c r="K26" s="150">
        <f t="shared" si="10"/>
        <v>0.44755244755244744</v>
      </c>
      <c r="L26" s="112">
        <f t="shared" si="11"/>
        <v>1</v>
      </c>
      <c r="M26" s="41">
        <f t="shared" si="4"/>
        <v>55</v>
      </c>
      <c r="N26" s="41">
        <f t="shared" si="14"/>
        <v>2.0828402366863954E-4</v>
      </c>
      <c r="O26" s="41">
        <f t="shared" si="13"/>
        <v>7.4461538461538463</v>
      </c>
      <c r="P26" s="41">
        <f t="shared" si="5"/>
        <v>0</v>
      </c>
      <c r="Q26" s="41">
        <f t="shared" si="6"/>
        <v>0</v>
      </c>
    </row>
    <row r="27" spans="1:25" x14ac:dyDescent="0.25">
      <c r="A27" s="41">
        <f t="shared" si="0"/>
        <v>16</v>
      </c>
      <c r="B27" s="44">
        <f t="shared" si="1"/>
        <v>2.6153846153846154</v>
      </c>
      <c r="C27" s="42">
        <f t="shared" si="2"/>
        <v>0</v>
      </c>
      <c r="D27" s="40"/>
      <c r="E27" s="42">
        <f>((('Device Parmaters'!$D$35)*COUTMAX)/(1000*'Design Calculator'!$F$69))+C27</f>
        <v>11</v>
      </c>
      <c r="F27" s="42">
        <f t="shared" si="7"/>
        <v>0.55000000000000004</v>
      </c>
      <c r="G27" s="40">
        <f t="shared" si="8"/>
        <v>0.55000000000000004</v>
      </c>
      <c r="H27" s="42">
        <f t="shared" si="3"/>
        <v>0.55000000000000004</v>
      </c>
      <c r="I27" s="43">
        <f t="shared" si="9"/>
        <v>2.7972027972027949E-5</v>
      </c>
      <c r="J27" s="50">
        <f t="shared" si="12"/>
        <v>4.7552447552447538E-4</v>
      </c>
      <c r="K27" s="150">
        <f t="shared" si="10"/>
        <v>0.47552447552447541</v>
      </c>
      <c r="L27" s="112">
        <f t="shared" si="11"/>
        <v>1</v>
      </c>
      <c r="M27" s="41">
        <f t="shared" si="4"/>
        <v>55</v>
      </c>
      <c r="N27" s="41">
        <f t="shared" si="14"/>
        <v>2.0591715976331346E-4</v>
      </c>
      <c r="O27" s="41">
        <f t="shared" si="13"/>
        <v>7.361538461538462</v>
      </c>
      <c r="P27" s="41">
        <f t="shared" si="5"/>
        <v>0</v>
      </c>
      <c r="Q27" s="41">
        <f t="shared" si="6"/>
        <v>0</v>
      </c>
    </row>
    <row r="28" spans="1:25" x14ac:dyDescent="0.25">
      <c r="A28" s="41">
        <f t="shared" si="0"/>
        <v>16</v>
      </c>
      <c r="B28" s="44">
        <f t="shared" si="1"/>
        <v>2.7692307692307692</v>
      </c>
      <c r="C28" s="42">
        <f t="shared" si="2"/>
        <v>0</v>
      </c>
      <c r="D28" s="40"/>
      <c r="E28" s="42">
        <f>((('Device Parmaters'!$D$35)*COUTMAX)/(1000*'Design Calculator'!$F$69))+C28</f>
        <v>11</v>
      </c>
      <c r="F28" s="42">
        <f t="shared" si="7"/>
        <v>0.55000000000000004</v>
      </c>
      <c r="G28" s="40">
        <f t="shared" si="8"/>
        <v>0.55000000000000004</v>
      </c>
      <c r="H28" s="42">
        <f t="shared" si="3"/>
        <v>0.55000000000000004</v>
      </c>
      <c r="I28" s="43">
        <f t="shared" si="9"/>
        <v>2.7972027972027949E-5</v>
      </c>
      <c r="J28" s="50">
        <f t="shared" si="12"/>
        <v>5.0349650349650337E-4</v>
      </c>
      <c r="K28" s="150">
        <f t="shared" si="10"/>
        <v>0.50349650349650332</v>
      </c>
      <c r="L28" s="112">
        <f t="shared" si="11"/>
        <v>1</v>
      </c>
      <c r="M28" s="41">
        <f t="shared" si="4"/>
        <v>55</v>
      </c>
      <c r="N28" s="41">
        <f t="shared" si="14"/>
        <v>2.03550295857988E-4</v>
      </c>
      <c r="O28" s="41">
        <f t="shared" si="13"/>
        <v>7.2769230769230768</v>
      </c>
      <c r="P28" s="41">
        <f t="shared" si="5"/>
        <v>0</v>
      </c>
      <c r="Q28" s="41">
        <f t="shared" si="6"/>
        <v>0</v>
      </c>
    </row>
    <row r="29" spans="1:25" x14ac:dyDescent="0.25">
      <c r="A29" s="41">
        <f t="shared" si="0"/>
        <v>16</v>
      </c>
      <c r="B29" s="44">
        <f t="shared" si="1"/>
        <v>2.9230769230769229</v>
      </c>
      <c r="C29" s="42">
        <f t="shared" si="2"/>
        <v>0</v>
      </c>
      <c r="D29" s="40"/>
      <c r="E29" s="42">
        <f>((('Device Parmaters'!$D$35)*COUTMAX)/(1000*'Design Calculator'!$F$69))+C29</f>
        <v>11</v>
      </c>
      <c r="F29" s="42">
        <f t="shared" si="7"/>
        <v>0.55000000000000004</v>
      </c>
      <c r="G29" s="40">
        <f t="shared" si="8"/>
        <v>0.55000000000000004</v>
      </c>
      <c r="H29" s="42">
        <f t="shared" si="3"/>
        <v>0.55000000000000004</v>
      </c>
      <c r="I29" s="43">
        <f t="shared" si="9"/>
        <v>2.7972027972027949E-5</v>
      </c>
      <c r="J29" s="50">
        <f t="shared" si="12"/>
        <v>5.3146853146853129E-4</v>
      </c>
      <c r="K29" s="150">
        <f t="shared" si="10"/>
        <v>0.53146853146853135</v>
      </c>
      <c r="L29" s="112">
        <f t="shared" si="11"/>
        <v>1</v>
      </c>
      <c r="M29" s="41">
        <f t="shared" si="4"/>
        <v>55</v>
      </c>
      <c r="N29" s="41">
        <f t="shared" si="14"/>
        <v>2.0118343195266256E-4</v>
      </c>
      <c r="O29" s="41">
        <f t="shared" si="13"/>
        <v>7.1923076923076925</v>
      </c>
      <c r="P29" s="41">
        <f t="shared" si="5"/>
        <v>0</v>
      </c>
      <c r="Q29" s="41">
        <f t="shared" si="6"/>
        <v>0</v>
      </c>
    </row>
    <row r="30" spans="1:25" x14ac:dyDescent="0.25">
      <c r="A30" s="41">
        <f t="shared" si="0"/>
        <v>16</v>
      </c>
      <c r="B30" s="44">
        <f t="shared" si="1"/>
        <v>3.0769230769230771</v>
      </c>
      <c r="C30" s="42">
        <f t="shared" si="2"/>
        <v>0</v>
      </c>
      <c r="D30" s="40"/>
      <c r="E30" s="42">
        <f>((('Device Parmaters'!$D$35)*COUTMAX)/(1000*'Design Calculator'!$F$69))+C30</f>
        <v>11</v>
      </c>
      <c r="F30" s="42">
        <f t="shared" si="7"/>
        <v>0.55000000000000004</v>
      </c>
      <c r="G30" s="40">
        <f t="shared" si="8"/>
        <v>0.55000000000000004</v>
      </c>
      <c r="H30" s="42">
        <f t="shared" si="3"/>
        <v>0.55000000000000004</v>
      </c>
      <c r="I30" s="43">
        <f t="shared" si="9"/>
        <v>2.7972027972028037E-5</v>
      </c>
      <c r="J30" s="50">
        <f t="shared" si="12"/>
        <v>5.5944055944055933E-4</v>
      </c>
      <c r="K30" s="150">
        <f t="shared" si="10"/>
        <v>0.55944055944055937</v>
      </c>
      <c r="L30" s="112">
        <f t="shared" si="11"/>
        <v>1</v>
      </c>
      <c r="M30" s="41">
        <f t="shared" si="4"/>
        <v>55</v>
      </c>
      <c r="N30" s="41">
        <f t="shared" si="14"/>
        <v>1.9881656804733775E-4</v>
      </c>
      <c r="O30" s="41">
        <f t="shared" si="13"/>
        <v>7.1076923076923082</v>
      </c>
      <c r="P30" s="41">
        <f t="shared" si="5"/>
        <v>0</v>
      </c>
      <c r="Q30" s="41">
        <f t="shared" si="6"/>
        <v>0</v>
      </c>
    </row>
    <row r="31" spans="1:25" x14ac:dyDescent="0.25">
      <c r="A31" s="41">
        <f t="shared" si="0"/>
        <v>16</v>
      </c>
      <c r="B31" s="44">
        <f t="shared" si="1"/>
        <v>3.2307692307692308</v>
      </c>
      <c r="C31" s="42">
        <f t="shared" si="2"/>
        <v>0</v>
      </c>
      <c r="D31" s="40"/>
      <c r="E31" s="42">
        <f>((('Device Parmaters'!$D$35)*COUTMAX)/(1000*'Design Calculator'!$F$69))+C31</f>
        <v>11</v>
      </c>
      <c r="F31" s="42">
        <f t="shared" si="7"/>
        <v>0.55000000000000004</v>
      </c>
      <c r="G31" s="40">
        <f t="shared" si="8"/>
        <v>0.55000000000000004</v>
      </c>
      <c r="H31" s="42">
        <f t="shared" si="3"/>
        <v>0.55000000000000004</v>
      </c>
      <c r="I31" s="43">
        <f t="shared" si="9"/>
        <v>2.7972027972027949E-5</v>
      </c>
      <c r="J31" s="50">
        <f t="shared" si="12"/>
        <v>5.8741258741258726E-4</v>
      </c>
      <c r="K31" s="150">
        <f t="shared" si="10"/>
        <v>0.58741258741258728</v>
      </c>
      <c r="L31" s="112">
        <f t="shared" si="11"/>
        <v>1</v>
      </c>
      <c r="M31" s="41">
        <f t="shared" si="4"/>
        <v>55</v>
      </c>
      <c r="N31" s="41">
        <f t="shared" si="14"/>
        <v>1.964497041420117E-4</v>
      </c>
      <c r="O31" s="41">
        <f t="shared" si="13"/>
        <v>7.0230769230769239</v>
      </c>
      <c r="P31" s="41">
        <f t="shared" si="5"/>
        <v>0</v>
      </c>
      <c r="Q31" s="41">
        <f t="shared" si="6"/>
        <v>0</v>
      </c>
    </row>
    <row r="32" spans="1:25" x14ac:dyDescent="0.25">
      <c r="A32" s="41">
        <f t="shared" si="0"/>
        <v>16</v>
      </c>
      <c r="B32" s="44">
        <f t="shared" si="1"/>
        <v>3.3846153846153846</v>
      </c>
      <c r="C32" s="42">
        <f t="shared" si="2"/>
        <v>0</v>
      </c>
      <c r="D32" s="40"/>
      <c r="E32" s="42">
        <f>((('Device Parmaters'!$D$35)*COUTMAX)/(1000*'Design Calculator'!$F$69))+C32</f>
        <v>11</v>
      </c>
      <c r="F32" s="42">
        <f t="shared" si="7"/>
        <v>0.55000000000000004</v>
      </c>
      <c r="G32" s="40">
        <f t="shared" si="8"/>
        <v>0.55000000000000004</v>
      </c>
      <c r="H32" s="42">
        <f t="shared" si="3"/>
        <v>0.55000000000000004</v>
      </c>
      <c r="I32" s="43">
        <f t="shared" si="9"/>
        <v>2.7972027972027949E-5</v>
      </c>
      <c r="J32" s="50">
        <f t="shared" si="12"/>
        <v>6.1538461538461519E-4</v>
      </c>
      <c r="K32" s="150">
        <f t="shared" si="10"/>
        <v>0.6153846153846152</v>
      </c>
      <c r="L32" s="112">
        <f t="shared" si="11"/>
        <v>1</v>
      </c>
      <c r="M32" s="41">
        <f t="shared" si="4"/>
        <v>55</v>
      </c>
      <c r="N32" s="41">
        <f t="shared" si="14"/>
        <v>1.9408284023668623E-4</v>
      </c>
      <c r="O32" s="41">
        <f t="shared" si="13"/>
        <v>6.9384615384615387</v>
      </c>
      <c r="P32" s="41">
        <f t="shared" si="5"/>
        <v>0</v>
      </c>
      <c r="Q32" s="41">
        <f t="shared" si="6"/>
        <v>0</v>
      </c>
    </row>
    <row r="33" spans="1:17" x14ac:dyDescent="0.25">
      <c r="A33" s="41">
        <f t="shared" si="0"/>
        <v>16</v>
      </c>
      <c r="B33" s="44">
        <f t="shared" si="1"/>
        <v>3.5384615384615383</v>
      </c>
      <c r="C33" s="42">
        <f t="shared" si="2"/>
        <v>0</v>
      </c>
      <c r="D33" s="40"/>
      <c r="E33" s="42">
        <f>((('Device Parmaters'!$D$35)*COUTMAX)/(1000*'Design Calculator'!$F$69))+C33</f>
        <v>11</v>
      </c>
      <c r="F33" s="42">
        <f t="shared" si="7"/>
        <v>0.55000000000000004</v>
      </c>
      <c r="G33" s="40">
        <f t="shared" si="8"/>
        <v>0.55000000000000004</v>
      </c>
      <c r="H33" s="42">
        <f t="shared" si="3"/>
        <v>0.55000000000000004</v>
      </c>
      <c r="I33" s="43">
        <f t="shared" si="9"/>
        <v>2.7972027972027949E-5</v>
      </c>
      <c r="J33" s="50">
        <f t="shared" si="12"/>
        <v>6.4335664335664312E-4</v>
      </c>
      <c r="K33" s="150">
        <f t="shared" si="10"/>
        <v>0.64335664335664311</v>
      </c>
      <c r="L33" s="112">
        <f t="shared" si="11"/>
        <v>1</v>
      </c>
      <c r="M33" s="41">
        <f t="shared" si="4"/>
        <v>55</v>
      </c>
      <c r="N33" s="41">
        <f t="shared" si="14"/>
        <v>1.917159763313608E-4</v>
      </c>
      <c r="O33" s="41">
        <f t="shared" si="13"/>
        <v>6.8538461538461544</v>
      </c>
      <c r="P33" s="41">
        <f t="shared" si="5"/>
        <v>0</v>
      </c>
      <c r="Q33" s="41">
        <f t="shared" si="6"/>
        <v>0</v>
      </c>
    </row>
    <row r="34" spans="1:17" x14ac:dyDescent="0.25">
      <c r="A34" s="41">
        <f t="shared" si="0"/>
        <v>16</v>
      </c>
      <c r="B34" s="44">
        <f t="shared" si="1"/>
        <v>3.6923076923076925</v>
      </c>
      <c r="C34" s="42">
        <f t="shared" si="2"/>
        <v>0</v>
      </c>
      <c r="D34" s="40"/>
      <c r="E34" s="42">
        <f>((('Device Parmaters'!$D$35)*COUTMAX)/(1000*'Design Calculator'!$F$69))+C34</f>
        <v>11</v>
      </c>
      <c r="F34" s="42">
        <f t="shared" si="7"/>
        <v>0.55000000000000004</v>
      </c>
      <c r="G34" s="40">
        <f t="shared" si="8"/>
        <v>0.55000000000000004</v>
      </c>
      <c r="H34" s="42">
        <f t="shared" si="3"/>
        <v>0.55000000000000004</v>
      </c>
      <c r="I34" s="43">
        <f t="shared" si="9"/>
        <v>2.7972027972028037E-5</v>
      </c>
      <c r="J34" s="50">
        <f t="shared" si="12"/>
        <v>6.7132867132867115E-4</v>
      </c>
      <c r="K34" s="150">
        <f t="shared" si="10"/>
        <v>0.67132867132867113</v>
      </c>
      <c r="L34" s="112">
        <f t="shared" si="11"/>
        <v>1</v>
      </c>
      <c r="M34" s="41">
        <f t="shared" si="4"/>
        <v>55</v>
      </c>
      <c r="N34" s="41">
        <f t="shared" si="14"/>
        <v>1.8934911242603593E-4</v>
      </c>
      <c r="O34" s="41">
        <f t="shared" si="13"/>
        <v>6.7692307692307692</v>
      </c>
      <c r="P34" s="41">
        <f t="shared" si="5"/>
        <v>0</v>
      </c>
      <c r="Q34" s="41">
        <f t="shared" si="6"/>
        <v>0</v>
      </c>
    </row>
    <row r="35" spans="1:17" x14ac:dyDescent="0.25">
      <c r="A35" s="41">
        <f t="shared" si="0"/>
        <v>16</v>
      </c>
      <c r="B35" s="44">
        <f t="shared" si="1"/>
        <v>3.8461538461538463</v>
      </c>
      <c r="C35" s="42">
        <f t="shared" si="2"/>
        <v>0</v>
      </c>
      <c r="D35" s="40"/>
      <c r="E35" s="42">
        <f>((('Device Parmaters'!$D$35)*COUTMAX)/(1000*'Design Calculator'!$F$69))+C35</f>
        <v>11</v>
      </c>
      <c r="F35" s="42">
        <f t="shared" si="7"/>
        <v>0.55000000000000004</v>
      </c>
      <c r="G35" s="40">
        <f t="shared" si="8"/>
        <v>0.55000000000000004</v>
      </c>
      <c r="H35" s="42">
        <f t="shared" si="3"/>
        <v>0.55000000000000004</v>
      </c>
      <c r="I35" s="43">
        <f t="shared" si="9"/>
        <v>2.7972027972027949E-5</v>
      </c>
      <c r="J35" s="50">
        <f t="shared" si="12"/>
        <v>6.9930069930069908E-4</v>
      </c>
      <c r="K35" s="150">
        <f t="shared" si="10"/>
        <v>0.69930069930069905</v>
      </c>
      <c r="L35" s="112">
        <f t="shared" si="11"/>
        <v>1</v>
      </c>
      <c r="M35" s="41">
        <f t="shared" si="4"/>
        <v>55</v>
      </c>
      <c r="N35" s="41">
        <f t="shared" si="14"/>
        <v>1.869822485207099E-4</v>
      </c>
      <c r="O35" s="41">
        <f t="shared" si="13"/>
        <v>6.6846153846153848</v>
      </c>
      <c r="P35" s="41">
        <f t="shared" si="5"/>
        <v>0</v>
      </c>
      <c r="Q35" s="41">
        <f t="shared" si="6"/>
        <v>0</v>
      </c>
    </row>
    <row r="36" spans="1:17" x14ac:dyDescent="0.25">
      <c r="A36" s="41">
        <f t="shared" si="0"/>
        <v>16</v>
      </c>
      <c r="B36" s="44">
        <f t="shared" si="1"/>
        <v>4</v>
      </c>
      <c r="C36" s="42">
        <f t="shared" si="2"/>
        <v>0</v>
      </c>
      <c r="D36" s="40"/>
      <c r="E36" s="42">
        <f>((('Device Parmaters'!$D$35)*COUTMAX)/(1000*'Design Calculator'!$F$69))+C36</f>
        <v>11</v>
      </c>
      <c r="F36" s="42">
        <f t="shared" si="7"/>
        <v>0.55000000000000004</v>
      </c>
      <c r="G36" s="40">
        <f t="shared" si="8"/>
        <v>0.55000000000000004</v>
      </c>
      <c r="H36" s="42">
        <f t="shared" si="3"/>
        <v>0.55000000000000004</v>
      </c>
      <c r="I36" s="43">
        <f t="shared" si="9"/>
        <v>2.7972027972027949E-5</v>
      </c>
      <c r="J36" s="50">
        <f t="shared" si="12"/>
        <v>7.2727272727272701E-4</v>
      </c>
      <c r="K36" s="150">
        <f t="shared" si="10"/>
        <v>0.72727272727272696</v>
      </c>
      <c r="L36" s="112">
        <f t="shared" si="11"/>
        <v>1</v>
      </c>
      <c r="M36" s="41">
        <f t="shared" si="4"/>
        <v>55</v>
      </c>
      <c r="N36" s="41">
        <f t="shared" si="14"/>
        <v>1.8461538461538447E-4</v>
      </c>
      <c r="O36" s="41">
        <f t="shared" si="13"/>
        <v>6.6000000000000005</v>
      </c>
      <c r="P36" s="41">
        <f t="shared" si="5"/>
        <v>0</v>
      </c>
      <c r="Q36" s="41">
        <f t="shared" si="6"/>
        <v>0</v>
      </c>
    </row>
    <row r="37" spans="1:17" x14ac:dyDescent="0.25">
      <c r="A37" s="41">
        <f t="shared" si="0"/>
        <v>16</v>
      </c>
      <c r="B37" s="44">
        <f t="shared" si="1"/>
        <v>4.1538461538461542</v>
      </c>
      <c r="C37" s="42">
        <f t="shared" si="2"/>
        <v>0</v>
      </c>
      <c r="D37" s="40"/>
      <c r="E37" s="42">
        <f>((('Device Parmaters'!$D$35)*COUTMAX)/(1000*'Design Calculator'!$F$69))+C37</f>
        <v>11</v>
      </c>
      <c r="F37" s="42">
        <f t="shared" si="7"/>
        <v>0.55000000000000004</v>
      </c>
      <c r="G37" s="40">
        <f t="shared" si="8"/>
        <v>0.55000000000000004</v>
      </c>
      <c r="H37" s="42">
        <f t="shared" si="3"/>
        <v>0.55000000000000004</v>
      </c>
      <c r="I37" s="43">
        <f t="shared" si="9"/>
        <v>2.7972027972028037E-5</v>
      </c>
      <c r="J37" s="50">
        <f t="shared" si="12"/>
        <v>7.5524475524475505E-4</v>
      </c>
      <c r="K37" s="150">
        <f t="shared" si="10"/>
        <v>0.75524475524475509</v>
      </c>
      <c r="L37" s="112">
        <f t="shared" si="11"/>
        <v>1</v>
      </c>
      <c r="M37" s="41">
        <f t="shared" si="4"/>
        <v>55</v>
      </c>
      <c r="N37" s="41">
        <f t="shared" si="14"/>
        <v>1.822485207100596E-4</v>
      </c>
      <c r="O37" s="41">
        <f t="shared" si="13"/>
        <v>6.5153846153846162</v>
      </c>
      <c r="P37" s="41">
        <f t="shared" si="5"/>
        <v>0</v>
      </c>
      <c r="Q37" s="41">
        <f t="shared" si="6"/>
        <v>0</v>
      </c>
    </row>
    <row r="38" spans="1:17" x14ac:dyDescent="0.25">
      <c r="A38" s="41">
        <f t="shared" si="0"/>
        <v>16</v>
      </c>
      <c r="B38" s="44">
        <f t="shared" si="1"/>
        <v>4.3076923076923075</v>
      </c>
      <c r="C38" s="42">
        <f t="shared" si="2"/>
        <v>0</v>
      </c>
      <c r="D38" s="40"/>
      <c r="E38" s="42">
        <f>((('Device Parmaters'!$D$35)*COUTMAX)/(1000*'Design Calculator'!$F$69))+C38</f>
        <v>11</v>
      </c>
      <c r="F38" s="42">
        <f t="shared" si="7"/>
        <v>0.55000000000000004</v>
      </c>
      <c r="G38" s="40">
        <f t="shared" si="8"/>
        <v>0.55000000000000004</v>
      </c>
      <c r="H38" s="42">
        <f t="shared" si="3"/>
        <v>0.55000000000000004</v>
      </c>
      <c r="I38" s="43">
        <f t="shared" si="9"/>
        <v>2.7972027972027871E-5</v>
      </c>
      <c r="J38" s="50">
        <f t="shared" si="12"/>
        <v>7.8321678321678287E-4</v>
      </c>
      <c r="K38" s="150">
        <f t="shared" si="10"/>
        <v>0.7832167832167829</v>
      </c>
      <c r="L38" s="112">
        <f t="shared" si="11"/>
        <v>1</v>
      </c>
      <c r="M38" s="41">
        <f t="shared" si="4"/>
        <v>55</v>
      </c>
      <c r="N38" s="41">
        <f t="shared" si="14"/>
        <v>1.7988165680473311E-4</v>
      </c>
      <c r="O38" s="41">
        <f t="shared" si="13"/>
        <v>6.4307692307692319</v>
      </c>
      <c r="P38" s="41">
        <f t="shared" si="5"/>
        <v>0</v>
      </c>
      <c r="Q38" s="41">
        <f t="shared" si="6"/>
        <v>0</v>
      </c>
    </row>
    <row r="39" spans="1:17" x14ac:dyDescent="0.25">
      <c r="A39" s="41">
        <f t="shared" si="0"/>
        <v>16</v>
      </c>
      <c r="B39" s="44">
        <f t="shared" si="1"/>
        <v>4.4615384615384617</v>
      </c>
      <c r="C39" s="42">
        <f t="shared" si="2"/>
        <v>0</v>
      </c>
      <c r="D39" s="40"/>
      <c r="E39" s="42">
        <f>((('Device Parmaters'!$D$35)*COUTMAX)/(1000*'Design Calculator'!$F$69))+C39</f>
        <v>11</v>
      </c>
      <c r="F39" s="42">
        <f t="shared" si="7"/>
        <v>0.55000000000000004</v>
      </c>
      <c r="G39" s="40">
        <f t="shared" si="8"/>
        <v>0.55000000000000004</v>
      </c>
      <c r="H39" s="42">
        <f t="shared" si="3"/>
        <v>0.55000000000000004</v>
      </c>
      <c r="I39" s="43">
        <f t="shared" si="9"/>
        <v>2.7972027972028037E-5</v>
      </c>
      <c r="J39" s="50">
        <f t="shared" si="12"/>
        <v>8.1118881118881091E-4</v>
      </c>
      <c r="K39" s="150">
        <f t="shared" si="10"/>
        <v>0.81118881118881092</v>
      </c>
      <c r="L39" s="112">
        <f t="shared" si="11"/>
        <v>1</v>
      </c>
      <c r="M39" s="41">
        <f t="shared" si="4"/>
        <v>55</v>
      </c>
      <c r="N39" s="41">
        <f t="shared" si="14"/>
        <v>1.7751479289940871E-4</v>
      </c>
      <c r="O39" s="41">
        <f t="shared" si="13"/>
        <v>6.3461538461538467</v>
      </c>
      <c r="P39" s="41">
        <f t="shared" si="5"/>
        <v>0</v>
      </c>
      <c r="Q39" s="41">
        <f t="shared" si="6"/>
        <v>0</v>
      </c>
    </row>
    <row r="40" spans="1:17" x14ac:dyDescent="0.25">
      <c r="A40" s="41">
        <f t="shared" si="0"/>
        <v>16</v>
      </c>
      <c r="B40" s="44">
        <f t="shared" si="1"/>
        <v>4.615384615384615</v>
      </c>
      <c r="C40" s="42">
        <f t="shared" si="2"/>
        <v>0</v>
      </c>
      <c r="D40" s="40"/>
      <c r="E40" s="42">
        <f>((('Device Parmaters'!$D$35)*COUTMAX)/(1000*'Design Calculator'!$F$69))+C40</f>
        <v>11</v>
      </c>
      <c r="F40" s="42">
        <f t="shared" si="7"/>
        <v>0.55000000000000004</v>
      </c>
      <c r="G40" s="40">
        <f t="shared" si="8"/>
        <v>0.55000000000000004</v>
      </c>
      <c r="H40" s="42">
        <f t="shared" si="3"/>
        <v>0.55000000000000004</v>
      </c>
      <c r="I40" s="43">
        <f t="shared" si="9"/>
        <v>2.7972027972027871E-5</v>
      </c>
      <c r="J40" s="50">
        <f t="shared" si="12"/>
        <v>8.3916083916083873E-4</v>
      </c>
      <c r="K40" s="150">
        <f t="shared" si="10"/>
        <v>0.83916083916083872</v>
      </c>
      <c r="L40" s="112">
        <f t="shared" si="11"/>
        <v>1</v>
      </c>
      <c r="M40" s="41">
        <f t="shared" si="4"/>
        <v>55</v>
      </c>
      <c r="N40" s="41">
        <f t="shared" si="14"/>
        <v>1.7514792899408222E-4</v>
      </c>
      <c r="O40" s="41">
        <f t="shared" si="13"/>
        <v>6.2615384615384624</v>
      </c>
      <c r="P40" s="41">
        <f t="shared" si="5"/>
        <v>0</v>
      </c>
      <c r="Q40" s="41">
        <f t="shared" si="6"/>
        <v>0</v>
      </c>
    </row>
    <row r="41" spans="1:17" x14ac:dyDescent="0.25">
      <c r="A41" s="41">
        <f t="shared" si="0"/>
        <v>16</v>
      </c>
      <c r="B41" s="44">
        <f t="shared" si="1"/>
        <v>4.7692307692307692</v>
      </c>
      <c r="C41" s="42">
        <f t="shared" si="2"/>
        <v>0</v>
      </c>
      <c r="D41" s="40"/>
      <c r="E41" s="42">
        <f>((('Device Parmaters'!$D$35)*COUTMAX)/(1000*'Design Calculator'!$F$69))+C41</f>
        <v>11</v>
      </c>
      <c r="F41" s="42">
        <f t="shared" si="7"/>
        <v>0.55000000000000004</v>
      </c>
      <c r="G41" s="40">
        <f t="shared" si="8"/>
        <v>0.55000000000000004</v>
      </c>
      <c r="H41" s="42">
        <f t="shared" si="3"/>
        <v>0.55000000000000004</v>
      </c>
      <c r="I41" s="43">
        <f t="shared" si="9"/>
        <v>2.7972027972028037E-5</v>
      </c>
      <c r="J41" s="50">
        <f t="shared" si="12"/>
        <v>8.6713286713286676E-4</v>
      </c>
      <c r="K41" s="150">
        <f t="shared" si="10"/>
        <v>0.86713286713286675</v>
      </c>
      <c r="L41" s="112">
        <f t="shared" si="11"/>
        <v>1</v>
      </c>
      <c r="M41" s="41">
        <f t="shared" si="4"/>
        <v>55</v>
      </c>
      <c r="N41" s="41">
        <f t="shared" si="14"/>
        <v>1.7278106508875779E-4</v>
      </c>
      <c r="O41" s="41">
        <f t="shared" si="13"/>
        <v>6.1769230769230772</v>
      </c>
      <c r="P41" s="41">
        <f t="shared" si="5"/>
        <v>0</v>
      </c>
      <c r="Q41" s="41">
        <f t="shared" si="6"/>
        <v>0</v>
      </c>
    </row>
    <row r="42" spans="1:17" x14ac:dyDescent="0.25">
      <c r="A42" s="41">
        <f t="shared" ref="A42:A73" si="15">VINMAX</f>
        <v>16</v>
      </c>
      <c r="B42" s="44">
        <f t="shared" ref="B42:B73" si="16">VINMAX*((ROW()-10)/104)</f>
        <v>4.9230769230769234</v>
      </c>
      <c r="C42" s="42">
        <f t="shared" ref="C42:C73" si="17">IF(B42&gt;=$H$2,IF($D$2="CC", $G$2, B42/$G$2), 0)</f>
        <v>0</v>
      </c>
      <c r="D42" s="40"/>
      <c r="E42" s="42">
        <f>((('Device Parmaters'!$D$35)*COUTMAX)/(1000*'Design Calculator'!$F$69))+C42</f>
        <v>11</v>
      </c>
      <c r="F42" s="42">
        <f t="shared" ref="F42:F73" si="18">I_Cout_ss+C42</f>
        <v>0.55000000000000004</v>
      </c>
      <c r="G42" s="40">
        <f t="shared" si="8"/>
        <v>0.55000000000000004</v>
      </c>
      <c r="H42" s="42">
        <f t="shared" ref="H42:H73" si="19">G42-C42</f>
        <v>0.55000000000000004</v>
      </c>
      <c r="I42" s="43">
        <f t="shared" si="9"/>
        <v>2.7972027972028037E-5</v>
      </c>
      <c r="J42" s="50">
        <f t="shared" si="12"/>
        <v>8.951048951048948E-4</v>
      </c>
      <c r="K42" s="150">
        <f t="shared" si="10"/>
        <v>0.89510489510489477</v>
      </c>
      <c r="L42" s="112">
        <f t="shared" si="11"/>
        <v>1</v>
      </c>
      <c r="M42" s="41">
        <f t="shared" ref="M42:M73" si="20">1/COUTMAX*(E42/2-C42)*1000</f>
        <v>55</v>
      </c>
      <c r="N42" s="41">
        <f t="shared" si="14"/>
        <v>1.7041420118343235E-4</v>
      </c>
      <c r="O42" s="41">
        <f t="shared" si="13"/>
        <v>6.0923076923076929</v>
      </c>
      <c r="P42" s="41">
        <f t="shared" ref="P42:P73" si="21">(A42-B42)*(I_Cout_ss*$Q$2+C42)</f>
        <v>0</v>
      </c>
      <c r="Q42" s="41">
        <f t="shared" ref="Q42:Q73" si="22">(A42-B42)*(I_Cout_ss*$R$2+C42)</f>
        <v>0</v>
      </c>
    </row>
    <row r="43" spans="1:17" x14ac:dyDescent="0.25">
      <c r="A43" s="41">
        <f t="shared" si="15"/>
        <v>16</v>
      </c>
      <c r="B43" s="44">
        <f t="shared" si="16"/>
        <v>5.0769230769230766</v>
      </c>
      <c r="C43" s="42">
        <f t="shared" si="17"/>
        <v>0</v>
      </c>
      <c r="D43" s="40"/>
      <c r="E43" s="42">
        <f>((('Device Parmaters'!$D$35)*COUTMAX)/(1000*'Design Calculator'!$F$69))+C43</f>
        <v>11</v>
      </c>
      <c r="F43" s="42">
        <f t="shared" si="18"/>
        <v>0.55000000000000004</v>
      </c>
      <c r="G43" s="40">
        <f t="shared" si="8"/>
        <v>0.55000000000000004</v>
      </c>
      <c r="H43" s="42">
        <f t="shared" si="19"/>
        <v>0.55000000000000004</v>
      </c>
      <c r="I43" s="43">
        <f t="shared" ref="I43:I74" si="23">(COUTMAX/1000000)*(B43-B42)/H43</f>
        <v>2.7972027972027871E-5</v>
      </c>
      <c r="J43" s="50">
        <f t="shared" si="12"/>
        <v>9.2307692307692262E-4</v>
      </c>
      <c r="K43" s="150">
        <f t="shared" si="10"/>
        <v>0.92307692307692257</v>
      </c>
      <c r="L43" s="112">
        <f t="shared" si="11"/>
        <v>1</v>
      </c>
      <c r="M43" s="41">
        <f t="shared" si="20"/>
        <v>55</v>
      </c>
      <c r="N43" s="41">
        <f t="shared" si="14"/>
        <v>1.6804733727810592E-4</v>
      </c>
      <c r="O43" s="41">
        <f t="shared" si="13"/>
        <v>6.0076923076923086</v>
      </c>
      <c r="P43" s="41">
        <f t="shared" si="21"/>
        <v>0</v>
      </c>
      <c r="Q43" s="41">
        <f t="shared" si="22"/>
        <v>0</v>
      </c>
    </row>
    <row r="44" spans="1:17" x14ac:dyDescent="0.25">
      <c r="A44" s="41">
        <f t="shared" si="15"/>
        <v>16</v>
      </c>
      <c r="B44" s="44">
        <f t="shared" si="16"/>
        <v>5.2307692307692308</v>
      </c>
      <c r="C44" s="42">
        <f t="shared" si="17"/>
        <v>0</v>
      </c>
      <c r="D44" s="40"/>
      <c r="E44" s="42">
        <f>((('Device Parmaters'!$D$35)*COUTMAX)/(1000*'Design Calculator'!$F$69))+C44</f>
        <v>11</v>
      </c>
      <c r="F44" s="42">
        <f t="shared" si="18"/>
        <v>0.55000000000000004</v>
      </c>
      <c r="G44" s="40">
        <f t="shared" si="8"/>
        <v>0.55000000000000004</v>
      </c>
      <c r="H44" s="42">
        <f t="shared" si="19"/>
        <v>0.55000000000000004</v>
      </c>
      <c r="I44" s="43">
        <f t="shared" si="23"/>
        <v>2.7972027972028037E-5</v>
      </c>
      <c r="J44" s="50">
        <f t="shared" si="12"/>
        <v>9.5104895104895066E-4</v>
      </c>
      <c r="K44" s="150">
        <f t="shared" si="10"/>
        <v>0.95104895104895071</v>
      </c>
      <c r="L44" s="112">
        <f t="shared" si="11"/>
        <v>1</v>
      </c>
      <c r="M44" s="41">
        <f t="shared" si="20"/>
        <v>55</v>
      </c>
      <c r="N44" s="41">
        <f t="shared" si="14"/>
        <v>1.6568047337278148E-4</v>
      </c>
      <c r="O44" s="41">
        <f t="shared" si="13"/>
        <v>5.9230769230769242</v>
      </c>
      <c r="P44" s="41">
        <f t="shared" si="21"/>
        <v>0</v>
      </c>
      <c r="Q44" s="41">
        <f t="shared" si="22"/>
        <v>0</v>
      </c>
    </row>
    <row r="45" spans="1:17" x14ac:dyDescent="0.25">
      <c r="A45" s="41">
        <f t="shared" si="15"/>
        <v>16</v>
      </c>
      <c r="B45" s="44">
        <f t="shared" si="16"/>
        <v>5.384615384615385</v>
      </c>
      <c r="C45" s="42">
        <f t="shared" si="17"/>
        <v>0</v>
      </c>
      <c r="D45" s="40"/>
      <c r="E45" s="42">
        <f>((('Device Parmaters'!$D$35)*COUTMAX)/(1000*'Design Calculator'!$F$69))+C45</f>
        <v>11</v>
      </c>
      <c r="F45" s="42">
        <f t="shared" si="18"/>
        <v>0.55000000000000004</v>
      </c>
      <c r="G45" s="40">
        <f t="shared" si="8"/>
        <v>0.55000000000000004</v>
      </c>
      <c r="H45" s="42">
        <f t="shared" si="19"/>
        <v>0.55000000000000004</v>
      </c>
      <c r="I45" s="43">
        <f t="shared" si="23"/>
        <v>2.7972027972028037E-5</v>
      </c>
      <c r="J45" s="50">
        <f t="shared" si="12"/>
        <v>9.7902097902097859E-4</v>
      </c>
      <c r="K45" s="150">
        <f t="shared" si="10"/>
        <v>0.97902097902097862</v>
      </c>
      <c r="L45" s="112">
        <f t="shared" si="11"/>
        <v>1</v>
      </c>
      <c r="M45" s="41">
        <f t="shared" si="20"/>
        <v>55</v>
      </c>
      <c r="N45" s="41">
        <f t="shared" si="14"/>
        <v>1.63313609467456E-4</v>
      </c>
      <c r="O45" s="41">
        <f t="shared" si="13"/>
        <v>5.838461538461539</v>
      </c>
      <c r="P45" s="41">
        <f t="shared" si="21"/>
        <v>0</v>
      </c>
      <c r="Q45" s="41">
        <f t="shared" si="22"/>
        <v>0</v>
      </c>
    </row>
    <row r="46" spans="1:17" x14ac:dyDescent="0.25">
      <c r="A46" s="41">
        <f t="shared" si="15"/>
        <v>16</v>
      </c>
      <c r="B46" s="44">
        <f t="shared" si="16"/>
        <v>5.5384615384615383</v>
      </c>
      <c r="C46" s="42">
        <f t="shared" si="17"/>
        <v>0</v>
      </c>
      <c r="D46" s="40"/>
      <c r="E46" s="42">
        <f>((('Device Parmaters'!$D$35)*COUTMAX)/(1000*'Design Calculator'!$F$69))+C46</f>
        <v>11</v>
      </c>
      <c r="F46" s="42">
        <f t="shared" si="18"/>
        <v>0.55000000000000004</v>
      </c>
      <c r="G46" s="40">
        <f t="shared" si="8"/>
        <v>0.55000000000000004</v>
      </c>
      <c r="H46" s="42">
        <f t="shared" si="19"/>
        <v>0.55000000000000004</v>
      </c>
      <c r="I46" s="43">
        <f t="shared" si="23"/>
        <v>2.7972027972027871E-5</v>
      </c>
      <c r="J46" s="50">
        <f t="shared" si="12"/>
        <v>1.0069930069930065E-3</v>
      </c>
      <c r="K46" s="150">
        <f t="shared" si="10"/>
        <v>1.0069930069930064</v>
      </c>
      <c r="L46" s="112">
        <f t="shared" si="11"/>
        <v>1</v>
      </c>
      <c r="M46" s="41">
        <f t="shared" si="20"/>
        <v>55</v>
      </c>
      <c r="N46" s="41">
        <f t="shared" si="14"/>
        <v>1.6094674556212961E-4</v>
      </c>
      <c r="O46" s="41">
        <f t="shared" si="13"/>
        <v>5.7538461538461547</v>
      </c>
      <c r="P46" s="41">
        <f t="shared" si="21"/>
        <v>0</v>
      </c>
      <c r="Q46" s="41">
        <f t="shared" si="22"/>
        <v>0</v>
      </c>
    </row>
    <row r="47" spans="1:17" x14ac:dyDescent="0.25">
      <c r="A47" s="41">
        <f t="shared" si="15"/>
        <v>16</v>
      </c>
      <c r="B47" s="44">
        <f t="shared" si="16"/>
        <v>5.6923076923076925</v>
      </c>
      <c r="C47" s="42">
        <f t="shared" si="17"/>
        <v>0</v>
      </c>
      <c r="D47" s="40"/>
      <c r="E47" s="42">
        <f>((('Device Parmaters'!$D$35)*COUTMAX)/(1000*'Design Calculator'!$F$69))+C47</f>
        <v>11</v>
      </c>
      <c r="F47" s="42">
        <f t="shared" si="18"/>
        <v>0.55000000000000004</v>
      </c>
      <c r="G47" s="40">
        <f t="shared" si="8"/>
        <v>0.55000000000000004</v>
      </c>
      <c r="H47" s="42">
        <f t="shared" si="19"/>
        <v>0.55000000000000004</v>
      </c>
      <c r="I47" s="43">
        <f t="shared" si="23"/>
        <v>2.7972027972028037E-5</v>
      </c>
      <c r="J47" s="50">
        <f t="shared" si="12"/>
        <v>1.0349650349650344E-3</v>
      </c>
      <c r="K47" s="150">
        <f t="shared" si="10"/>
        <v>1.0349650349650343</v>
      </c>
      <c r="L47" s="112">
        <f t="shared" si="11"/>
        <v>1</v>
      </c>
      <c r="M47" s="41">
        <f t="shared" si="20"/>
        <v>55</v>
      </c>
      <c r="N47" s="41">
        <f t="shared" si="14"/>
        <v>1.585798816568051E-4</v>
      </c>
      <c r="O47" s="41">
        <f t="shared" si="13"/>
        <v>5.6692307692307695</v>
      </c>
      <c r="P47" s="41">
        <f t="shared" si="21"/>
        <v>0</v>
      </c>
      <c r="Q47" s="41">
        <f t="shared" si="22"/>
        <v>0</v>
      </c>
    </row>
    <row r="48" spans="1:17" x14ac:dyDescent="0.25">
      <c r="A48" s="41">
        <f t="shared" si="15"/>
        <v>16</v>
      </c>
      <c r="B48" s="44">
        <f t="shared" si="16"/>
        <v>5.8461538461538458</v>
      </c>
      <c r="C48" s="42">
        <f t="shared" si="17"/>
        <v>0</v>
      </c>
      <c r="D48" s="40"/>
      <c r="E48" s="42">
        <f>((('Device Parmaters'!$D$35)*COUTMAX)/(1000*'Design Calculator'!$F$69))+C48</f>
        <v>11</v>
      </c>
      <c r="F48" s="42">
        <f t="shared" si="18"/>
        <v>0.55000000000000004</v>
      </c>
      <c r="G48" s="40">
        <f t="shared" si="8"/>
        <v>0.55000000000000004</v>
      </c>
      <c r="H48" s="42">
        <f t="shared" si="19"/>
        <v>0.55000000000000004</v>
      </c>
      <c r="I48" s="43">
        <f t="shared" si="23"/>
        <v>2.7972027972027871E-5</v>
      </c>
      <c r="J48" s="50">
        <f t="shared" si="12"/>
        <v>1.0629370629370624E-3</v>
      </c>
      <c r="K48" s="150">
        <f t="shared" si="10"/>
        <v>1.0629370629370625</v>
      </c>
      <c r="L48" s="112">
        <f t="shared" si="11"/>
        <v>1</v>
      </c>
      <c r="M48" s="41">
        <f t="shared" si="20"/>
        <v>55</v>
      </c>
      <c r="N48" s="41">
        <f t="shared" si="14"/>
        <v>1.5621301775147872E-4</v>
      </c>
      <c r="O48" s="41">
        <f t="shared" si="13"/>
        <v>5.5846153846153852</v>
      </c>
      <c r="P48" s="41">
        <f t="shared" si="21"/>
        <v>0</v>
      </c>
      <c r="Q48" s="41">
        <f t="shared" si="22"/>
        <v>0</v>
      </c>
    </row>
    <row r="49" spans="1:17" x14ac:dyDescent="0.25">
      <c r="A49" s="41">
        <f t="shared" si="15"/>
        <v>16</v>
      </c>
      <c r="B49" s="44">
        <f t="shared" si="16"/>
        <v>6</v>
      </c>
      <c r="C49" s="42">
        <f t="shared" si="17"/>
        <v>6</v>
      </c>
      <c r="D49" s="40"/>
      <c r="E49" s="42">
        <f>((('Device Parmaters'!$D$35)*COUTMAX)/(1000*'Design Calculator'!$F$69))+C49</f>
        <v>17</v>
      </c>
      <c r="F49" s="42">
        <f t="shared" si="18"/>
        <v>6.55</v>
      </c>
      <c r="G49" s="40">
        <f t="shared" si="8"/>
        <v>6.55</v>
      </c>
      <c r="H49" s="42">
        <f t="shared" si="19"/>
        <v>0.54999999999999982</v>
      </c>
      <c r="I49" s="43">
        <f t="shared" si="23"/>
        <v>2.7972027972028047E-5</v>
      </c>
      <c r="J49" s="50">
        <f t="shared" si="12"/>
        <v>1.0909090909090905E-3</v>
      </c>
      <c r="K49" s="150">
        <f t="shared" si="10"/>
        <v>1.0909090909090906</v>
      </c>
      <c r="L49" s="112">
        <f t="shared" si="11"/>
        <v>8.3969465648854935E-2</v>
      </c>
      <c r="M49" s="41">
        <f t="shared" si="20"/>
        <v>25</v>
      </c>
      <c r="N49" s="41">
        <f t="shared" si="14"/>
        <v>1.832167832167837E-3</v>
      </c>
      <c r="O49" s="41">
        <f t="shared" si="13"/>
        <v>65.5</v>
      </c>
      <c r="P49" s="41">
        <f t="shared" si="21"/>
        <v>60</v>
      </c>
      <c r="Q49" s="41">
        <f t="shared" si="22"/>
        <v>60</v>
      </c>
    </row>
    <row r="50" spans="1:17" x14ac:dyDescent="0.25">
      <c r="A50" s="41">
        <f t="shared" si="15"/>
        <v>16</v>
      </c>
      <c r="B50" s="44">
        <f t="shared" si="16"/>
        <v>6.1538461538461542</v>
      </c>
      <c r="C50" s="42">
        <f t="shared" si="17"/>
        <v>6.1538461538461542</v>
      </c>
      <c r="D50" s="40"/>
      <c r="E50" s="42">
        <f>((('Device Parmaters'!$D$35)*COUTMAX)/(1000*'Design Calculator'!$F$69))+C50</f>
        <v>17.153846153846153</v>
      </c>
      <c r="F50" s="42">
        <f t="shared" si="18"/>
        <v>6.703846153846154</v>
      </c>
      <c r="G50" s="40">
        <f t="shared" si="8"/>
        <v>6.703846153846154</v>
      </c>
      <c r="H50" s="42">
        <f t="shared" si="19"/>
        <v>0.54999999999999982</v>
      </c>
      <c r="I50" s="43">
        <f t="shared" si="23"/>
        <v>2.7972027972028047E-5</v>
      </c>
      <c r="J50" s="50">
        <f t="shared" si="12"/>
        <v>1.1188811188811187E-3</v>
      </c>
      <c r="K50" s="150">
        <f t="shared" si="10"/>
        <v>1.1188811188811187</v>
      </c>
      <c r="L50" s="112">
        <f t="shared" si="11"/>
        <v>8.2042455536431413E-2</v>
      </c>
      <c r="M50" s="41">
        <f t="shared" si="20"/>
        <v>24.230769230769226</v>
      </c>
      <c r="N50" s="41">
        <f t="shared" si="14"/>
        <v>1.8463524641039485E-3</v>
      </c>
      <c r="O50" s="41">
        <f t="shared" si="13"/>
        <v>66.007100591715982</v>
      </c>
      <c r="P50" s="41">
        <f t="shared" si="21"/>
        <v>60.591715976331365</v>
      </c>
      <c r="Q50" s="41">
        <f t="shared" si="22"/>
        <v>60.591715976331365</v>
      </c>
    </row>
    <row r="51" spans="1:17" x14ac:dyDescent="0.25">
      <c r="A51" s="41">
        <f t="shared" si="15"/>
        <v>16</v>
      </c>
      <c r="B51" s="44">
        <f t="shared" si="16"/>
        <v>6.3076923076923075</v>
      </c>
      <c r="C51" s="42">
        <f t="shared" si="17"/>
        <v>6.3076923076923075</v>
      </c>
      <c r="D51" s="40"/>
      <c r="E51" s="42">
        <f>((('Device Parmaters'!$D$35)*COUTMAX)/(1000*'Design Calculator'!$F$69))+C51</f>
        <v>17.307692307692307</v>
      </c>
      <c r="F51" s="42">
        <f t="shared" si="18"/>
        <v>6.8576923076923073</v>
      </c>
      <c r="G51" s="40">
        <f t="shared" si="8"/>
        <v>6.8576923076923073</v>
      </c>
      <c r="H51" s="42">
        <f t="shared" si="19"/>
        <v>0.54999999999999982</v>
      </c>
      <c r="I51" s="43">
        <f t="shared" si="23"/>
        <v>2.7972027972027881E-5</v>
      </c>
      <c r="J51" s="50">
        <f t="shared" si="12"/>
        <v>1.1468531468531466E-3</v>
      </c>
      <c r="K51" s="150">
        <f t="shared" si="10"/>
        <v>1.1468531468531467</v>
      </c>
      <c r="L51" s="112">
        <f t="shared" si="11"/>
        <v>8.0201906898485678E-2</v>
      </c>
      <c r="M51" s="41">
        <f t="shared" si="20"/>
        <v>23.461538461538456</v>
      </c>
      <c r="N51" s="41">
        <f t="shared" si="14"/>
        <v>1.8592129763727338E-3</v>
      </c>
      <c r="O51" s="41">
        <f t="shared" si="13"/>
        <v>66.466863905325454</v>
      </c>
      <c r="P51" s="41">
        <f t="shared" si="21"/>
        <v>61.136094674556219</v>
      </c>
      <c r="Q51" s="41">
        <f t="shared" si="22"/>
        <v>61.136094674556219</v>
      </c>
    </row>
    <row r="52" spans="1:17" x14ac:dyDescent="0.25">
      <c r="A52" s="41">
        <f t="shared" si="15"/>
        <v>16</v>
      </c>
      <c r="B52" s="44">
        <f t="shared" si="16"/>
        <v>6.4615384615384617</v>
      </c>
      <c r="C52" s="42">
        <f t="shared" si="17"/>
        <v>6.4615384615384617</v>
      </c>
      <c r="D52" s="40"/>
      <c r="E52" s="42">
        <f>((('Device Parmaters'!$D$35)*COUTMAX)/(1000*'Design Calculator'!$F$69))+C52</f>
        <v>17.46153846153846</v>
      </c>
      <c r="F52" s="42">
        <f t="shared" si="18"/>
        <v>7.0115384615384615</v>
      </c>
      <c r="G52" s="40">
        <f t="shared" si="8"/>
        <v>7.0115384615384615</v>
      </c>
      <c r="H52" s="42">
        <f t="shared" si="19"/>
        <v>0.54999999999999982</v>
      </c>
      <c r="I52" s="43">
        <f t="shared" si="23"/>
        <v>2.7972027972028047E-5</v>
      </c>
      <c r="J52" s="50">
        <f t="shared" si="12"/>
        <v>1.1748251748251747E-3</v>
      </c>
      <c r="K52" s="150">
        <f t="shared" si="10"/>
        <v>1.1748251748251748</v>
      </c>
      <c r="L52" s="112">
        <f t="shared" si="11"/>
        <v>7.8442128359846389E-2</v>
      </c>
      <c r="M52" s="41">
        <f t="shared" si="20"/>
        <v>22.692307692307683</v>
      </c>
      <c r="N52" s="41">
        <f t="shared" si="14"/>
        <v>1.8707493689742261E-3</v>
      </c>
      <c r="O52" s="41">
        <f t="shared" si="13"/>
        <v>66.8792899408284</v>
      </c>
      <c r="P52" s="41">
        <f t="shared" si="21"/>
        <v>61.633136094674555</v>
      </c>
      <c r="Q52" s="41">
        <f t="shared" si="22"/>
        <v>61.633136094674555</v>
      </c>
    </row>
    <row r="53" spans="1:17" x14ac:dyDescent="0.25">
      <c r="A53" s="41">
        <f t="shared" si="15"/>
        <v>16</v>
      </c>
      <c r="B53" s="44">
        <f t="shared" si="16"/>
        <v>6.615384615384615</v>
      </c>
      <c r="C53" s="42">
        <f t="shared" si="17"/>
        <v>6.615384615384615</v>
      </c>
      <c r="D53" s="40"/>
      <c r="E53" s="42">
        <f>((('Device Parmaters'!$D$35)*COUTMAX)/(1000*'Design Calculator'!$F$69))+C53</f>
        <v>17.615384615384613</v>
      </c>
      <c r="F53" s="42">
        <f t="shared" si="18"/>
        <v>7.1653846153846148</v>
      </c>
      <c r="G53" s="40">
        <f t="shared" si="8"/>
        <v>7.1653846153846148</v>
      </c>
      <c r="H53" s="42">
        <f t="shared" si="19"/>
        <v>0.54999999999999982</v>
      </c>
      <c r="I53" s="43">
        <f t="shared" si="23"/>
        <v>2.7972027972027881E-5</v>
      </c>
      <c r="J53" s="50">
        <f t="shared" si="12"/>
        <v>1.2027972027972027E-3</v>
      </c>
      <c r="K53" s="150">
        <f t="shared" si="10"/>
        <v>1.2027972027972027</v>
      </c>
      <c r="L53" s="112">
        <f t="shared" si="11"/>
        <v>7.6757917337627463E-2</v>
      </c>
      <c r="M53" s="41">
        <f t="shared" si="20"/>
        <v>21.923076923076916</v>
      </c>
      <c r="N53" s="41">
        <f t="shared" si="14"/>
        <v>1.8809616419083815E-3</v>
      </c>
      <c r="O53" s="41">
        <f t="shared" si="13"/>
        <v>67.24437869822485</v>
      </c>
      <c r="P53" s="41">
        <f t="shared" si="21"/>
        <v>62.082840236686387</v>
      </c>
      <c r="Q53" s="41">
        <f t="shared" si="22"/>
        <v>62.082840236686387</v>
      </c>
    </row>
    <row r="54" spans="1:17" x14ac:dyDescent="0.25">
      <c r="A54" s="41">
        <f t="shared" si="15"/>
        <v>16</v>
      </c>
      <c r="B54" s="44">
        <f t="shared" si="16"/>
        <v>6.7692307692307692</v>
      </c>
      <c r="C54" s="42">
        <f t="shared" si="17"/>
        <v>6.7692307692307692</v>
      </c>
      <c r="D54" s="40"/>
      <c r="E54" s="42">
        <f>((('Device Parmaters'!$D$35)*COUTMAX)/(1000*'Design Calculator'!$F$69))+C54</f>
        <v>17.76923076923077</v>
      </c>
      <c r="F54" s="42">
        <f t="shared" si="18"/>
        <v>7.319230769230769</v>
      </c>
      <c r="G54" s="40">
        <f t="shared" si="8"/>
        <v>7.319230769230769</v>
      </c>
      <c r="H54" s="42">
        <f t="shared" si="19"/>
        <v>0.54999999999999982</v>
      </c>
      <c r="I54" s="43">
        <f t="shared" si="23"/>
        <v>2.7972027972028047E-5</v>
      </c>
      <c r="J54" s="50">
        <f t="shared" si="12"/>
        <v>1.2307692307692308E-3</v>
      </c>
      <c r="K54" s="150">
        <f t="shared" si="10"/>
        <v>1.2307692307692308</v>
      </c>
      <c r="L54" s="112">
        <f t="shared" si="11"/>
        <v>7.5144508670520208E-2</v>
      </c>
      <c r="M54" s="41">
        <f t="shared" si="20"/>
        <v>21.153846153846157</v>
      </c>
      <c r="N54" s="41">
        <f t="shared" si="14"/>
        <v>1.8898497951752437E-3</v>
      </c>
      <c r="O54" s="41">
        <f t="shared" si="13"/>
        <v>67.562130177514788</v>
      </c>
      <c r="P54" s="41">
        <f t="shared" si="21"/>
        <v>62.485207100591708</v>
      </c>
      <c r="Q54" s="41">
        <f t="shared" si="22"/>
        <v>62.485207100591708</v>
      </c>
    </row>
    <row r="55" spans="1:17" x14ac:dyDescent="0.25">
      <c r="A55" s="41">
        <f t="shared" si="15"/>
        <v>16</v>
      </c>
      <c r="B55" s="44">
        <f t="shared" si="16"/>
        <v>6.9230769230769234</v>
      </c>
      <c r="C55" s="42">
        <f t="shared" si="17"/>
        <v>6.9230769230769234</v>
      </c>
      <c r="D55" s="40"/>
      <c r="E55" s="42">
        <f>((('Device Parmaters'!$D$35)*COUTMAX)/(1000*'Design Calculator'!$F$69))+C55</f>
        <v>17.923076923076923</v>
      </c>
      <c r="F55" s="42">
        <f t="shared" si="18"/>
        <v>7.4730769230769232</v>
      </c>
      <c r="G55" s="40">
        <f t="shared" si="8"/>
        <v>7.4730769230769232</v>
      </c>
      <c r="H55" s="42">
        <f t="shared" si="19"/>
        <v>0.54999999999999982</v>
      </c>
      <c r="I55" s="43">
        <f t="shared" si="23"/>
        <v>2.7972027972028047E-5</v>
      </c>
      <c r="J55" s="50">
        <f t="shared" si="12"/>
        <v>1.258741258741259E-3</v>
      </c>
      <c r="K55" s="150">
        <f t="shared" si="10"/>
        <v>1.258741258741259</v>
      </c>
      <c r="L55" s="112">
        <f t="shared" si="11"/>
        <v>7.3597529593412231E-2</v>
      </c>
      <c r="M55" s="41">
        <f t="shared" si="20"/>
        <v>20.384615384615383</v>
      </c>
      <c r="N55" s="41">
        <f t="shared" si="14"/>
        <v>1.8974138287747805E-3</v>
      </c>
      <c r="O55" s="41">
        <f t="shared" si="13"/>
        <v>67.832544378698231</v>
      </c>
      <c r="P55" s="41">
        <f t="shared" si="21"/>
        <v>62.840236686390533</v>
      </c>
      <c r="Q55" s="41">
        <f t="shared" si="22"/>
        <v>62.840236686390533</v>
      </c>
    </row>
    <row r="56" spans="1:17" x14ac:dyDescent="0.25">
      <c r="A56" s="41">
        <f t="shared" si="15"/>
        <v>16</v>
      </c>
      <c r="B56" s="44">
        <f t="shared" si="16"/>
        <v>7.0769230769230766</v>
      </c>
      <c r="C56" s="42">
        <f t="shared" si="17"/>
        <v>7.0769230769230766</v>
      </c>
      <c r="D56" s="40"/>
      <c r="E56" s="42">
        <f>((('Device Parmaters'!$D$35)*COUTMAX)/(1000*'Design Calculator'!$F$69))+C56</f>
        <v>18.076923076923077</v>
      </c>
      <c r="F56" s="42">
        <f t="shared" si="18"/>
        <v>7.6269230769230765</v>
      </c>
      <c r="G56" s="40">
        <f t="shared" si="8"/>
        <v>7.6269230769230765</v>
      </c>
      <c r="H56" s="42">
        <f t="shared" si="19"/>
        <v>0.54999999999999982</v>
      </c>
      <c r="I56" s="43">
        <f t="shared" si="23"/>
        <v>2.7972027972027881E-5</v>
      </c>
      <c r="J56" s="50">
        <f t="shared" si="12"/>
        <v>1.2867132867132869E-3</v>
      </c>
      <c r="K56" s="150">
        <f t="shared" si="10"/>
        <v>1.2867132867132869</v>
      </c>
      <c r="L56" s="112">
        <f t="shared" si="11"/>
        <v>7.2112960161371642E-2</v>
      </c>
      <c r="M56" s="41">
        <f t="shared" si="20"/>
        <v>19.615384615384617</v>
      </c>
      <c r="N56" s="41">
        <f t="shared" si="14"/>
        <v>1.9036537427069911E-3</v>
      </c>
      <c r="O56" s="41">
        <f t="shared" si="13"/>
        <v>68.055621301775147</v>
      </c>
      <c r="P56" s="41">
        <f t="shared" si="21"/>
        <v>63.147928994082839</v>
      </c>
      <c r="Q56" s="41">
        <f t="shared" si="22"/>
        <v>63.147928994082839</v>
      </c>
    </row>
    <row r="57" spans="1:17" x14ac:dyDescent="0.25">
      <c r="A57" s="41">
        <f t="shared" si="15"/>
        <v>16</v>
      </c>
      <c r="B57" s="44">
        <f t="shared" si="16"/>
        <v>7.2307692307692308</v>
      </c>
      <c r="C57" s="42">
        <f t="shared" si="17"/>
        <v>7.2307692307692308</v>
      </c>
      <c r="D57" s="40"/>
      <c r="E57" s="42">
        <f>((('Device Parmaters'!$D$35)*COUTMAX)/(1000*'Design Calculator'!$F$69))+C57</f>
        <v>18.23076923076923</v>
      </c>
      <c r="F57" s="42">
        <f t="shared" si="18"/>
        <v>7.7807692307692307</v>
      </c>
      <c r="G57" s="40">
        <f t="shared" si="8"/>
        <v>7.7807692307692307</v>
      </c>
      <c r="H57" s="42">
        <f t="shared" si="19"/>
        <v>0.54999999999999982</v>
      </c>
      <c r="I57" s="43">
        <f t="shared" si="23"/>
        <v>2.7972027972028047E-5</v>
      </c>
      <c r="J57" s="50">
        <f t="shared" si="12"/>
        <v>1.314685314685315E-3</v>
      </c>
      <c r="K57" s="150">
        <f t="shared" si="10"/>
        <v>1.314685314685315</v>
      </c>
      <c r="L57" s="112">
        <f t="shared" si="11"/>
        <v>7.0687098368759249E-2</v>
      </c>
      <c r="M57" s="41">
        <f t="shared" si="20"/>
        <v>18.846153846153843</v>
      </c>
      <c r="N57" s="41">
        <f t="shared" si="14"/>
        <v>1.9085695369719091E-3</v>
      </c>
      <c r="O57" s="41">
        <f t="shared" si="13"/>
        <v>68.231360946745568</v>
      </c>
      <c r="P57" s="41">
        <f t="shared" si="21"/>
        <v>63.408284023668642</v>
      </c>
      <c r="Q57" s="41">
        <f t="shared" si="22"/>
        <v>63.408284023668642</v>
      </c>
    </row>
    <row r="58" spans="1:17" x14ac:dyDescent="0.25">
      <c r="A58" s="41">
        <f t="shared" si="15"/>
        <v>16</v>
      </c>
      <c r="B58" s="44">
        <f t="shared" si="16"/>
        <v>7.384615384615385</v>
      </c>
      <c r="C58" s="42">
        <f t="shared" si="17"/>
        <v>7.384615384615385</v>
      </c>
      <c r="D58" s="40"/>
      <c r="E58" s="42">
        <f>((('Device Parmaters'!$D$35)*COUTMAX)/(1000*'Design Calculator'!$F$69))+C58</f>
        <v>18.384615384615387</v>
      </c>
      <c r="F58" s="42">
        <f t="shared" si="18"/>
        <v>7.9346153846153848</v>
      </c>
      <c r="G58" s="40">
        <f t="shared" si="8"/>
        <v>7.9346153846153848</v>
      </c>
      <c r="H58" s="42">
        <f t="shared" si="19"/>
        <v>0.54999999999999982</v>
      </c>
      <c r="I58" s="43">
        <f t="shared" si="23"/>
        <v>2.7972027972028047E-5</v>
      </c>
      <c r="J58" s="50">
        <f t="shared" si="12"/>
        <v>1.3426573426573432E-3</v>
      </c>
      <c r="K58" s="150">
        <f t="shared" si="10"/>
        <v>1.3426573426573432</v>
      </c>
      <c r="L58" s="112">
        <f t="shared" si="11"/>
        <v>6.9316529326223925E-2</v>
      </c>
      <c r="M58" s="41">
        <f t="shared" si="20"/>
        <v>18.076923076923084</v>
      </c>
      <c r="N58" s="41">
        <f t="shared" si="14"/>
        <v>1.9121612115695007E-3</v>
      </c>
      <c r="O58" s="41">
        <f t="shared" si="13"/>
        <v>68.359763313609463</v>
      </c>
      <c r="P58" s="41">
        <f t="shared" si="21"/>
        <v>63.621301775147927</v>
      </c>
      <c r="Q58" s="41">
        <f t="shared" si="22"/>
        <v>63.621301775147927</v>
      </c>
    </row>
    <row r="59" spans="1:17" x14ac:dyDescent="0.25">
      <c r="A59" s="41">
        <f t="shared" si="15"/>
        <v>16</v>
      </c>
      <c r="B59" s="44">
        <f t="shared" si="16"/>
        <v>7.5384615384615383</v>
      </c>
      <c r="C59" s="42">
        <f t="shared" si="17"/>
        <v>7.5384615384615383</v>
      </c>
      <c r="D59" s="40"/>
      <c r="E59" s="42">
        <f>((('Device Parmaters'!$D$35)*COUTMAX)/(1000*'Design Calculator'!$F$69))+C59</f>
        <v>18.53846153846154</v>
      </c>
      <c r="F59" s="42">
        <f t="shared" si="18"/>
        <v>8.088461538461539</v>
      </c>
      <c r="G59" s="40">
        <f t="shared" si="8"/>
        <v>8.088461538461539</v>
      </c>
      <c r="H59" s="42">
        <f t="shared" si="19"/>
        <v>0.55000000000000071</v>
      </c>
      <c r="I59" s="43">
        <f t="shared" si="23"/>
        <v>2.7972027972027837E-5</v>
      </c>
      <c r="J59" s="50">
        <f t="shared" si="12"/>
        <v>1.3706293706293711E-3</v>
      </c>
      <c r="K59" s="150">
        <f t="shared" si="10"/>
        <v>1.3706293706293711</v>
      </c>
      <c r="L59" s="112">
        <f t="shared" si="11"/>
        <v>6.7998097955302039E-2</v>
      </c>
      <c r="M59" s="41">
        <f t="shared" si="20"/>
        <v>17.307692307692321</v>
      </c>
      <c r="N59" s="41">
        <f t="shared" si="14"/>
        <v>1.9144287664997633E-3</v>
      </c>
      <c r="O59" s="41">
        <f t="shared" si="13"/>
        <v>68.440828402366876</v>
      </c>
      <c r="P59" s="41">
        <f t="shared" si="21"/>
        <v>63.786982248520708</v>
      </c>
      <c r="Q59" s="41">
        <f t="shared" si="22"/>
        <v>63.786982248520708</v>
      </c>
    </row>
    <row r="60" spans="1:17" x14ac:dyDescent="0.25">
      <c r="A60" s="41">
        <f t="shared" si="15"/>
        <v>16</v>
      </c>
      <c r="B60" s="44">
        <f t="shared" si="16"/>
        <v>7.6923076923076925</v>
      </c>
      <c r="C60" s="42">
        <f t="shared" si="17"/>
        <v>7.6923076923076925</v>
      </c>
      <c r="D60" s="40"/>
      <c r="E60" s="42">
        <f>((('Device Parmaters'!$D$35)*COUTMAX)/(1000*'Design Calculator'!$F$69))+C60</f>
        <v>18.692307692307693</v>
      </c>
      <c r="F60" s="42">
        <f t="shared" si="18"/>
        <v>8.2423076923076923</v>
      </c>
      <c r="G60" s="40">
        <f t="shared" si="8"/>
        <v>8.2423076923076923</v>
      </c>
      <c r="H60" s="42">
        <f t="shared" si="19"/>
        <v>0.54999999999999982</v>
      </c>
      <c r="I60" s="43">
        <f t="shared" si="23"/>
        <v>2.7972027972028047E-5</v>
      </c>
      <c r="J60" s="50">
        <f t="shared" si="12"/>
        <v>1.3986013986013993E-3</v>
      </c>
      <c r="K60" s="150">
        <f t="shared" si="10"/>
        <v>1.3986013986013992</v>
      </c>
      <c r="L60" s="112">
        <f t="shared" si="11"/>
        <v>6.672888474101725E-2</v>
      </c>
      <c r="M60" s="41">
        <f t="shared" si="20"/>
        <v>16.538461538461544</v>
      </c>
      <c r="N60" s="41">
        <f t="shared" si="14"/>
        <v>1.9153722017627391E-3</v>
      </c>
      <c r="O60" s="41">
        <f t="shared" si="13"/>
        <v>68.474556213017749</v>
      </c>
      <c r="P60" s="41">
        <f t="shared" si="21"/>
        <v>63.905325443786978</v>
      </c>
      <c r="Q60" s="41">
        <f t="shared" si="22"/>
        <v>63.905325443786978</v>
      </c>
    </row>
    <row r="61" spans="1:17" x14ac:dyDescent="0.25">
      <c r="A61" s="41">
        <f t="shared" si="15"/>
        <v>16</v>
      </c>
      <c r="B61" s="44">
        <f t="shared" si="16"/>
        <v>7.8461538461538458</v>
      </c>
      <c r="C61" s="42">
        <f t="shared" si="17"/>
        <v>7.8461538461538458</v>
      </c>
      <c r="D61" s="40"/>
      <c r="E61" s="42">
        <f>((('Device Parmaters'!$D$35)*COUTMAX)/(1000*'Design Calculator'!$F$69))+C61</f>
        <v>18.846153846153847</v>
      </c>
      <c r="F61" s="42">
        <f t="shared" si="18"/>
        <v>8.3961538461538456</v>
      </c>
      <c r="G61" s="40">
        <f t="shared" si="8"/>
        <v>8.3961538461538456</v>
      </c>
      <c r="H61" s="42">
        <f t="shared" si="19"/>
        <v>0.54999999999999982</v>
      </c>
      <c r="I61" s="43">
        <f t="shared" si="23"/>
        <v>2.7972027972027881E-5</v>
      </c>
      <c r="J61" s="50">
        <f t="shared" si="12"/>
        <v>1.4265734265734272E-3</v>
      </c>
      <c r="K61" s="150">
        <f t="shared" si="10"/>
        <v>1.4265734265734271</v>
      </c>
      <c r="L61" s="112">
        <f t="shared" si="11"/>
        <v>6.5506184150251931E-2</v>
      </c>
      <c r="M61" s="41">
        <f t="shared" si="20"/>
        <v>15.769230769230775</v>
      </c>
      <c r="N61" s="41">
        <f>I61*G61*(A61-B61)</f>
        <v>1.9149915173583747E-3</v>
      </c>
      <c r="O61" s="41">
        <f t="shared" si="13"/>
        <v>68.460946745562126</v>
      </c>
      <c r="P61" s="41">
        <f t="shared" si="21"/>
        <v>63.976331360946737</v>
      </c>
      <c r="Q61" s="41">
        <f t="shared" si="22"/>
        <v>63.976331360946737</v>
      </c>
    </row>
    <row r="62" spans="1:17" x14ac:dyDescent="0.25">
      <c r="A62" s="41">
        <f t="shared" si="15"/>
        <v>16</v>
      </c>
      <c r="B62" s="44">
        <f t="shared" si="16"/>
        <v>8</v>
      </c>
      <c r="C62" s="42">
        <f t="shared" si="17"/>
        <v>8</v>
      </c>
      <c r="D62" s="40"/>
      <c r="E62" s="42">
        <f>((('Device Parmaters'!$D$35)*COUTMAX)/(1000*'Design Calculator'!$F$69))+C62</f>
        <v>19</v>
      </c>
      <c r="F62" s="42">
        <f t="shared" si="18"/>
        <v>8.5500000000000007</v>
      </c>
      <c r="G62" s="40">
        <f t="shared" si="8"/>
        <v>8.5500000000000007</v>
      </c>
      <c r="H62" s="42">
        <f t="shared" si="19"/>
        <v>0.55000000000000071</v>
      </c>
      <c r="I62" s="43">
        <f t="shared" si="23"/>
        <v>2.7972027972028003E-5</v>
      </c>
      <c r="J62" s="50">
        <f t="shared" si="12"/>
        <v>1.4545454545454551E-3</v>
      </c>
      <c r="K62" s="150">
        <f t="shared" si="10"/>
        <v>1.454545454545455</v>
      </c>
      <c r="L62" s="112">
        <f t="shared" si="11"/>
        <v>6.4327485380117039E-2</v>
      </c>
      <c r="M62" s="41">
        <f t="shared" si="20"/>
        <v>15</v>
      </c>
      <c r="N62" s="41">
        <f t="shared" si="14"/>
        <v>1.9132867132867157E-3</v>
      </c>
      <c r="O62" s="41">
        <f t="shared" si="13"/>
        <v>68.400000000000006</v>
      </c>
      <c r="P62" s="41">
        <f t="shared" si="21"/>
        <v>64</v>
      </c>
      <c r="Q62" s="41">
        <f t="shared" si="22"/>
        <v>64</v>
      </c>
    </row>
    <row r="63" spans="1:17" x14ac:dyDescent="0.25">
      <c r="A63" s="41">
        <f t="shared" si="15"/>
        <v>16</v>
      </c>
      <c r="B63" s="44">
        <f t="shared" si="16"/>
        <v>8.1538461538461533</v>
      </c>
      <c r="C63" s="42">
        <f t="shared" si="17"/>
        <v>8.1538461538461533</v>
      </c>
      <c r="D63" s="40"/>
      <c r="E63" s="42">
        <f>((('Device Parmaters'!$D$35)*COUTMAX)/(1000*'Design Calculator'!$F$69))+C63</f>
        <v>19.153846153846153</v>
      </c>
      <c r="F63" s="42">
        <f t="shared" si="18"/>
        <v>8.703846153846154</v>
      </c>
      <c r="G63" s="40">
        <f t="shared" si="8"/>
        <v>8.703846153846154</v>
      </c>
      <c r="H63" s="42">
        <f t="shared" si="19"/>
        <v>0.55000000000000071</v>
      </c>
      <c r="I63" s="43">
        <f t="shared" si="23"/>
        <v>2.7972027972027837E-5</v>
      </c>
      <c r="J63" s="50">
        <f t="shared" si="12"/>
        <v>1.482517482517483E-3</v>
      </c>
      <c r="K63" s="150">
        <f t="shared" si="10"/>
        <v>1.4825174825174829</v>
      </c>
      <c r="L63" s="112">
        <f t="shared" si="11"/>
        <v>6.3190455148033661E-2</v>
      </c>
      <c r="M63" s="41">
        <f t="shared" si="20"/>
        <v>14.230769230769234</v>
      </c>
      <c r="N63" s="41">
        <f t="shared" si="14"/>
        <v>1.9102577895477213E-3</v>
      </c>
      <c r="O63" s="41">
        <f t="shared" si="13"/>
        <v>68.291715976331361</v>
      </c>
      <c r="P63" s="41">
        <f t="shared" si="21"/>
        <v>63.976331360946745</v>
      </c>
      <c r="Q63" s="41">
        <f t="shared" si="22"/>
        <v>63.976331360946745</v>
      </c>
    </row>
    <row r="64" spans="1:17" x14ac:dyDescent="0.25">
      <c r="A64" s="41">
        <f t="shared" si="15"/>
        <v>16</v>
      </c>
      <c r="B64" s="44">
        <f t="shared" si="16"/>
        <v>8.3076923076923084</v>
      </c>
      <c r="C64" s="42">
        <f t="shared" si="17"/>
        <v>8.3076923076923084</v>
      </c>
      <c r="D64" s="40"/>
      <c r="E64" s="42">
        <f>((('Device Parmaters'!$D$35)*COUTMAX)/(1000*'Design Calculator'!$F$69))+C64</f>
        <v>19.307692307692307</v>
      </c>
      <c r="F64" s="42">
        <f t="shared" si="18"/>
        <v>8.8576923076923091</v>
      </c>
      <c r="G64" s="40">
        <f t="shared" si="8"/>
        <v>8.8576923076923091</v>
      </c>
      <c r="H64" s="42">
        <f t="shared" si="19"/>
        <v>0.55000000000000071</v>
      </c>
      <c r="I64" s="43">
        <f t="shared" si="23"/>
        <v>2.7972027972028162E-5</v>
      </c>
      <c r="J64" s="50">
        <f t="shared" si="12"/>
        <v>1.5104895104895112E-3</v>
      </c>
      <c r="K64" s="150">
        <f t="shared" si="10"/>
        <v>1.5104895104895111</v>
      </c>
      <c r="L64" s="112">
        <f t="shared" si="11"/>
        <v>6.2092922275293165E-2</v>
      </c>
      <c r="M64" s="41">
        <f t="shared" si="20"/>
        <v>13.461538461538451</v>
      </c>
      <c r="N64" s="41">
        <f t="shared" si="14"/>
        <v>1.9059047461414457E-3</v>
      </c>
      <c r="O64" s="41">
        <f t="shared" si="13"/>
        <v>68.136094674556219</v>
      </c>
      <c r="P64" s="41">
        <f t="shared" si="21"/>
        <v>63.905325443786985</v>
      </c>
      <c r="Q64" s="41">
        <f t="shared" si="22"/>
        <v>63.905325443786985</v>
      </c>
    </row>
    <row r="65" spans="1:17" x14ac:dyDescent="0.25">
      <c r="A65" s="41">
        <f t="shared" si="15"/>
        <v>16</v>
      </c>
      <c r="B65" s="44">
        <f t="shared" si="16"/>
        <v>8.4615384615384617</v>
      </c>
      <c r="C65" s="42">
        <f t="shared" si="17"/>
        <v>8.4615384615384617</v>
      </c>
      <c r="D65" s="40"/>
      <c r="E65" s="42">
        <f>((('Device Parmaters'!$D$35)*COUTMAX)/(1000*'Design Calculator'!$F$69))+C65</f>
        <v>19.46153846153846</v>
      </c>
      <c r="F65" s="42">
        <f t="shared" si="18"/>
        <v>9.0115384615384624</v>
      </c>
      <c r="G65" s="40">
        <f t="shared" si="8"/>
        <v>9.0115384615384624</v>
      </c>
      <c r="H65" s="42">
        <f t="shared" si="19"/>
        <v>0.55000000000000071</v>
      </c>
      <c r="I65" s="43">
        <f t="shared" si="23"/>
        <v>2.7972027972027837E-5</v>
      </c>
      <c r="J65" s="50">
        <f t="shared" si="12"/>
        <v>1.5384615384615391E-3</v>
      </c>
      <c r="K65" s="150">
        <f t="shared" si="10"/>
        <v>1.5384615384615392</v>
      </c>
      <c r="L65" s="112">
        <f t="shared" si="11"/>
        <v>6.1032863849765334E-2</v>
      </c>
      <c r="M65" s="41">
        <f t="shared" si="20"/>
        <v>12.692307692307683</v>
      </c>
      <c r="N65" s="41">
        <f t="shared" si="14"/>
        <v>1.9002275830678106E-3</v>
      </c>
      <c r="O65" s="41">
        <f t="shared" si="13"/>
        <v>67.933136094674566</v>
      </c>
      <c r="P65" s="41">
        <f t="shared" si="21"/>
        <v>63.786982248520708</v>
      </c>
      <c r="Q65" s="41">
        <f t="shared" si="22"/>
        <v>63.786982248520708</v>
      </c>
    </row>
    <row r="66" spans="1:17" x14ac:dyDescent="0.25">
      <c r="A66" s="41">
        <f t="shared" si="15"/>
        <v>16</v>
      </c>
      <c r="B66" s="44">
        <f t="shared" si="16"/>
        <v>8.615384615384615</v>
      </c>
      <c r="C66" s="42">
        <f t="shared" si="17"/>
        <v>8.615384615384615</v>
      </c>
      <c r="D66" s="40"/>
      <c r="E66" s="42">
        <f>((('Device Parmaters'!$D$35)*COUTMAX)/(1000*'Design Calculator'!$F$69))+C66</f>
        <v>19.615384615384613</v>
      </c>
      <c r="F66" s="42">
        <f t="shared" si="18"/>
        <v>9.1653846153846157</v>
      </c>
      <c r="G66" s="40">
        <f t="shared" si="8"/>
        <v>9.1653846153846157</v>
      </c>
      <c r="H66" s="42">
        <f t="shared" si="19"/>
        <v>0.55000000000000071</v>
      </c>
      <c r="I66" s="43">
        <f t="shared" si="23"/>
        <v>2.7972027972027837E-5</v>
      </c>
      <c r="J66" s="50">
        <f t="shared" si="12"/>
        <v>1.566433566433567E-3</v>
      </c>
      <c r="K66" s="150">
        <f t="shared" si="10"/>
        <v>1.5664335664335671</v>
      </c>
      <c r="L66" s="112">
        <f t="shared" si="11"/>
        <v>6.0008392782207376E-2</v>
      </c>
      <c r="M66" s="41">
        <f t="shared" si="20"/>
        <v>11.923076923076916</v>
      </c>
      <c r="N66" s="41">
        <f t="shared" si="14"/>
        <v>1.8932263003268832E-3</v>
      </c>
      <c r="O66" s="41">
        <f t="shared" si="13"/>
        <v>67.682840236686403</v>
      </c>
      <c r="P66" s="41">
        <f t="shared" si="21"/>
        <v>63.621301775147927</v>
      </c>
      <c r="Q66" s="41">
        <f t="shared" si="22"/>
        <v>63.621301775147927</v>
      </c>
    </row>
    <row r="67" spans="1:17" x14ac:dyDescent="0.25">
      <c r="A67" s="41">
        <f t="shared" si="15"/>
        <v>16</v>
      </c>
      <c r="B67" s="44">
        <f t="shared" si="16"/>
        <v>8.7692307692307701</v>
      </c>
      <c r="C67" s="42">
        <f t="shared" si="17"/>
        <v>8.7692307692307701</v>
      </c>
      <c r="D67" s="40"/>
      <c r="E67" s="42">
        <f>((('Device Parmaters'!$D$35)*COUTMAX)/(1000*'Design Calculator'!$F$69))+C67</f>
        <v>19.76923076923077</v>
      </c>
      <c r="F67" s="42">
        <f t="shared" si="18"/>
        <v>9.3192307692307708</v>
      </c>
      <c r="G67" s="40">
        <f t="shared" si="8"/>
        <v>9.3192307692307708</v>
      </c>
      <c r="H67" s="42">
        <f t="shared" si="19"/>
        <v>0.55000000000000071</v>
      </c>
      <c r="I67" s="43">
        <f t="shared" si="23"/>
        <v>2.7972027972028162E-5</v>
      </c>
      <c r="J67" s="50">
        <f t="shared" si="12"/>
        <v>1.5944055944055952E-3</v>
      </c>
      <c r="K67" s="150">
        <f t="shared" si="10"/>
        <v>1.5944055944055953</v>
      </c>
      <c r="L67" s="112">
        <f t="shared" si="11"/>
        <v>5.9017746595130073E-2</v>
      </c>
      <c r="M67" s="41">
        <f t="shared" si="20"/>
        <v>11.15384615384615</v>
      </c>
      <c r="N67" s="41">
        <f t="shared" si="14"/>
        <v>1.8849008979186625E-3</v>
      </c>
      <c r="O67" s="41">
        <f t="shared" si="13"/>
        <v>67.385207100591714</v>
      </c>
      <c r="P67" s="41">
        <f t="shared" si="21"/>
        <v>63.408284023668635</v>
      </c>
      <c r="Q67" s="41">
        <f t="shared" si="22"/>
        <v>63.408284023668635</v>
      </c>
    </row>
    <row r="68" spans="1:17" x14ac:dyDescent="0.25">
      <c r="A68" s="41">
        <f t="shared" si="15"/>
        <v>16</v>
      </c>
      <c r="B68" s="44">
        <f t="shared" si="16"/>
        <v>8.9230769230769234</v>
      </c>
      <c r="C68" s="42">
        <f t="shared" si="17"/>
        <v>8.9230769230769234</v>
      </c>
      <c r="D68" s="40"/>
      <c r="E68" s="42">
        <f>((('Device Parmaters'!$D$35)*COUTMAX)/(1000*'Design Calculator'!$F$69))+C68</f>
        <v>19.923076923076923</v>
      </c>
      <c r="F68" s="42">
        <f t="shared" si="18"/>
        <v>9.4730769230769241</v>
      </c>
      <c r="G68" s="40">
        <f t="shared" si="8"/>
        <v>9.4730769230769241</v>
      </c>
      <c r="H68" s="42">
        <f t="shared" si="19"/>
        <v>0.55000000000000071</v>
      </c>
      <c r="I68" s="43">
        <f t="shared" si="23"/>
        <v>2.7972027972027837E-5</v>
      </c>
      <c r="J68" s="50">
        <f t="shared" si="12"/>
        <v>1.6223776223776231E-3</v>
      </c>
      <c r="K68" s="150">
        <f t="shared" si="10"/>
        <v>1.6223776223776232</v>
      </c>
      <c r="L68" s="112">
        <f t="shared" si="11"/>
        <v>5.8059277304100758E-2</v>
      </c>
      <c r="M68" s="41">
        <f t="shared" si="20"/>
        <v>10.384615384615383</v>
      </c>
      <c r="N68" s="41">
        <f t="shared" si="14"/>
        <v>1.8752513758430829E-3</v>
      </c>
      <c r="O68" s="41">
        <f t="shared" si="13"/>
        <v>67.040236686390543</v>
      </c>
      <c r="P68" s="41">
        <f t="shared" si="21"/>
        <v>63.147928994082839</v>
      </c>
      <c r="Q68" s="41">
        <f t="shared" si="22"/>
        <v>63.147928994082839</v>
      </c>
    </row>
    <row r="69" spans="1:17" x14ac:dyDescent="0.25">
      <c r="A69" s="41">
        <f t="shared" si="15"/>
        <v>16</v>
      </c>
      <c r="B69" s="44">
        <f t="shared" si="16"/>
        <v>9.0769230769230766</v>
      </c>
      <c r="C69" s="42">
        <f t="shared" si="17"/>
        <v>9.0769230769230766</v>
      </c>
      <c r="D69" s="40"/>
      <c r="E69" s="42">
        <f>((('Device Parmaters'!$D$35)*COUTMAX)/(1000*'Design Calculator'!$F$69))+C69</f>
        <v>20.076923076923077</v>
      </c>
      <c r="F69" s="42">
        <f t="shared" si="18"/>
        <v>9.6269230769230774</v>
      </c>
      <c r="G69" s="40">
        <f t="shared" si="8"/>
        <v>9.6269230769230774</v>
      </c>
      <c r="H69" s="42">
        <f t="shared" si="19"/>
        <v>0.55000000000000071</v>
      </c>
      <c r="I69" s="43">
        <f t="shared" si="23"/>
        <v>2.7972027972027837E-5</v>
      </c>
      <c r="J69" s="50">
        <f t="shared" si="12"/>
        <v>1.650349650349651E-3</v>
      </c>
      <c r="K69" s="150">
        <f t="shared" si="10"/>
        <v>1.6503496503496511</v>
      </c>
      <c r="L69" s="112">
        <f t="shared" si="11"/>
        <v>5.7131442269276939E-2</v>
      </c>
      <c r="M69" s="41">
        <f t="shared" si="20"/>
        <v>9.6153846153846185</v>
      </c>
      <c r="N69" s="41">
        <f t="shared" si="14"/>
        <v>1.8642777341002106E-3</v>
      </c>
      <c r="O69" s="41">
        <f t="shared" si="13"/>
        <v>66.647928994082847</v>
      </c>
      <c r="P69" s="41">
        <f t="shared" si="21"/>
        <v>62.840236686390533</v>
      </c>
      <c r="Q69" s="41">
        <f t="shared" si="22"/>
        <v>62.840236686390533</v>
      </c>
    </row>
    <row r="70" spans="1:17" x14ac:dyDescent="0.25">
      <c r="A70" s="41">
        <f t="shared" si="15"/>
        <v>16</v>
      </c>
      <c r="B70" s="44">
        <f t="shared" si="16"/>
        <v>9.2307692307692299</v>
      </c>
      <c r="C70" s="42">
        <f t="shared" si="17"/>
        <v>9.2307692307692299</v>
      </c>
      <c r="D70" s="40"/>
      <c r="E70" s="42">
        <f>((('Device Parmaters'!$D$35)*COUTMAX)/(1000*'Design Calculator'!$F$69))+C70</f>
        <v>20.23076923076923</v>
      </c>
      <c r="F70" s="42">
        <f t="shared" si="18"/>
        <v>9.7807692307692307</v>
      </c>
      <c r="G70" s="40">
        <f t="shared" si="8"/>
        <v>9.7807692307692307</v>
      </c>
      <c r="H70" s="42">
        <f t="shared" si="19"/>
        <v>0.55000000000000071</v>
      </c>
      <c r="I70" s="43">
        <f t="shared" si="23"/>
        <v>2.7972027972027837E-5</v>
      </c>
      <c r="J70" s="50">
        <f t="shared" si="12"/>
        <v>1.678321678321679E-3</v>
      </c>
      <c r="K70" s="150">
        <f t="shared" si="10"/>
        <v>1.678321678321679</v>
      </c>
      <c r="L70" s="112">
        <f t="shared" si="11"/>
        <v>5.6232795910342186E-2</v>
      </c>
      <c r="M70" s="41">
        <f t="shared" si="20"/>
        <v>8.8461538461538503</v>
      </c>
      <c r="N70" s="41">
        <f t="shared" si="14"/>
        <v>1.8519799726900231E-3</v>
      </c>
      <c r="O70" s="41">
        <f t="shared" si="13"/>
        <v>66.208284023668639</v>
      </c>
      <c r="P70" s="41">
        <f t="shared" si="21"/>
        <v>62.485207100591715</v>
      </c>
      <c r="Q70" s="41">
        <f t="shared" si="22"/>
        <v>62.485207100591715</v>
      </c>
    </row>
    <row r="71" spans="1:17" x14ac:dyDescent="0.25">
      <c r="A71" s="41">
        <f t="shared" si="15"/>
        <v>16</v>
      </c>
      <c r="B71" s="44">
        <f t="shared" si="16"/>
        <v>9.384615384615385</v>
      </c>
      <c r="C71" s="42">
        <f t="shared" si="17"/>
        <v>9.384615384615385</v>
      </c>
      <c r="D71" s="40"/>
      <c r="E71" s="42">
        <f>((('Device Parmaters'!$D$35)*COUTMAX)/(1000*'Design Calculator'!$F$69))+C71</f>
        <v>20.384615384615387</v>
      </c>
      <c r="F71" s="42">
        <f t="shared" si="18"/>
        <v>9.9346153846153857</v>
      </c>
      <c r="G71" s="40">
        <f t="shared" si="8"/>
        <v>9.9346153846153857</v>
      </c>
      <c r="H71" s="42">
        <f t="shared" si="19"/>
        <v>0.55000000000000071</v>
      </c>
      <c r="I71" s="43">
        <f t="shared" si="23"/>
        <v>2.7972027972028162E-5</v>
      </c>
      <c r="J71" s="50">
        <f t="shared" si="12"/>
        <v>1.7062937062937071E-3</v>
      </c>
      <c r="K71" s="150">
        <f t="shared" si="10"/>
        <v>1.7062937062937071</v>
      </c>
      <c r="L71" s="112">
        <f t="shared" si="11"/>
        <v>5.5361982191250547E-2</v>
      </c>
      <c r="M71" s="41">
        <f t="shared" si="20"/>
        <v>8.0769230769230838</v>
      </c>
      <c r="N71" s="41">
        <f t="shared" si="14"/>
        <v>1.8383580916125422E-3</v>
      </c>
      <c r="O71" s="41">
        <f t="shared" si="13"/>
        <v>65.721301775147936</v>
      </c>
      <c r="P71" s="41">
        <f t="shared" si="21"/>
        <v>62.082840236686387</v>
      </c>
      <c r="Q71" s="41">
        <f t="shared" si="22"/>
        <v>62.082840236686387</v>
      </c>
    </row>
    <row r="72" spans="1:17" x14ac:dyDescent="0.25">
      <c r="A72" s="41">
        <f t="shared" si="15"/>
        <v>16</v>
      </c>
      <c r="B72" s="44">
        <f t="shared" si="16"/>
        <v>9.5384615384615383</v>
      </c>
      <c r="C72" s="42">
        <f t="shared" si="17"/>
        <v>9.5384615384615383</v>
      </c>
      <c r="D72" s="40"/>
      <c r="E72" s="42">
        <f>((('Device Parmaters'!$D$35)*COUTMAX)/(1000*'Design Calculator'!$F$69))+C72</f>
        <v>20.53846153846154</v>
      </c>
      <c r="F72" s="42">
        <f t="shared" si="18"/>
        <v>10.088461538461539</v>
      </c>
      <c r="G72" s="40">
        <f t="shared" si="8"/>
        <v>10.088461538461539</v>
      </c>
      <c r="H72" s="42">
        <f t="shared" si="19"/>
        <v>0.55000000000000071</v>
      </c>
      <c r="I72" s="43">
        <f t="shared" si="23"/>
        <v>2.7972027972027837E-5</v>
      </c>
      <c r="J72" s="50">
        <f t="shared" si="12"/>
        <v>1.734265734265735E-3</v>
      </c>
      <c r="K72" s="150">
        <f t="shared" si="10"/>
        <v>1.734265734265735</v>
      </c>
      <c r="L72" s="112">
        <f t="shared" si="11"/>
        <v>5.4517727792603957E-2</v>
      </c>
      <c r="M72" s="41">
        <f t="shared" si="20"/>
        <v>7.3076923076923173</v>
      </c>
      <c r="N72" s="41">
        <f t="shared" si="14"/>
        <v>1.8234120908677037E-3</v>
      </c>
      <c r="O72" s="41">
        <f t="shared" si="13"/>
        <v>65.186982248520721</v>
      </c>
      <c r="P72" s="41">
        <f t="shared" si="21"/>
        <v>61.633136094674555</v>
      </c>
      <c r="Q72" s="41">
        <f t="shared" si="22"/>
        <v>61.633136094674555</v>
      </c>
    </row>
    <row r="73" spans="1:17" x14ac:dyDescent="0.25">
      <c r="A73" s="41">
        <f t="shared" si="15"/>
        <v>16</v>
      </c>
      <c r="B73" s="44">
        <f t="shared" si="16"/>
        <v>9.6923076923076916</v>
      </c>
      <c r="C73" s="42">
        <f t="shared" si="17"/>
        <v>9.6923076923076916</v>
      </c>
      <c r="D73" s="40"/>
      <c r="E73" s="42">
        <f>((('Device Parmaters'!$D$35)*COUTMAX)/(1000*'Design Calculator'!$F$69))+C73</f>
        <v>20.692307692307693</v>
      </c>
      <c r="F73" s="42">
        <f t="shared" si="18"/>
        <v>10.242307692307692</v>
      </c>
      <c r="G73" s="40">
        <f t="shared" si="8"/>
        <v>10.242307692307692</v>
      </c>
      <c r="H73" s="42">
        <f t="shared" si="19"/>
        <v>0.55000000000000071</v>
      </c>
      <c r="I73" s="43">
        <f t="shared" si="23"/>
        <v>2.7972027972027837E-5</v>
      </c>
      <c r="J73" s="50">
        <f t="shared" si="12"/>
        <v>1.762237762237763E-3</v>
      </c>
      <c r="K73" s="150">
        <f t="shared" si="10"/>
        <v>1.762237762237763</v>
      </c>
      <c r="L73" s="112">
        <f t="shared" si="11"/>
        <v>5.369883589936169E-2</v>
      </c>
      <c r="M73" s="41">
        <f t="shared" si="20"/>
        <v>6.5384615384615508</v>
      </c>
      <c r="N73" s="41">
        <f t="shared" si="14"/>
        <v>1.8071419704555713E-3</v>
      </c>
      <c r="O73" s="41">
        <f t="shared" si="13"/>
        <v>64.605325443786995</v>
      </c>
      <c r="P73" s="41">
        <f t="shared" si="21"/>
        <v>61.136094674556219</v>
      </c>
      <c r="Q73" s="41">
        <f t="shared" si="22"/>
        <v>61.136094674556219</v>
      </c>
    </row>
    <row r="74" spans="1:17" x14ac:dyDescent="0.25">
      <c r="A74" s="41">
        <f t="shared" ref="A74:A105" si="24">VINMAX</f>
        <v>16</v>
      </c>
      <c r="B74" s="44">
        <f t="shared" ref="B74:B105" si="25">VINMAX*((ROW()-10)/104)</f>
        <v>9.8461538461538467</v>
      </c>
      <c r="C74" s="42">
        <f t="shared" ref="C74:C105" si="26">IF(B74&gt;=$H$2,IF($D$2="CC", $G$2, B74/$G$2), 0)</f>
        <v>9.8461538461538467</v>
      </c>
      <c r="D74" s="40"/>
      <c r="E74" s="42">
        <f>((('Device Parmaters'!$D$35)*COUTMAX)/(1000*'Design Calculator'!$F$69))+C74</f>
        <v>20.846153846153847</v>
      </c>
      <c r="F74" s="42">
        <f t="shared" ref="F74:F105" si="27">I_Cout_ss+C74</f>
        <v>10.396153846153847</v>
      </c>
      <c r="G74" s="40">
        <f t="shared" si="8"/>
        <v>10.396153846153847</v>
      </c>
      <c r="H74" s="42">
        <f t="shared" ref="H74:H105" si="28">G74-C74</f>
        <v>0.55000000000000071</v>
      </c>
      <c r="I74" s="43">
        <f t="shared" si="23"/>
        <v>2.7972027972028162E-5</v>
      </c>
      <c r="J74" s="50">
        <f t="shared" si="12"/>
        <v>1.7902097902097911E-3</v>
      </c>
      <c r="K74" s="150">
        <f t="shared" si="10"/>
        <v>1.7902097902097911</v>
      </c>
      <c r="L74" s="112">
        <f t="shared" si="11"/>
        <v>5.290418054014065E-2</v>
      </c>
      <c r="M74" s="41">
        <f t="shared" ref="M74:M105" si="29">1/COUTMAX*(E74/2-C74)*1000</f>
        <v>5.7692307692307674</v>
      </c>
      <c r="N74" s="41">
        <f t="shared" si="14"/>
        <v>1.789547730376145E-3</v>
      </c>
      <c r="O74" s="41">
        <f t="shared" si="13"/>
        <v>63.976331360946745</v>
      </c>
      <c r="P74" s="41">
        <f t="shared" ref="P74:P105" si="30">(A74-B74)*(I_Cout_ss*$Q$2+C74)</f>
        <v>60.591715976331358</v>
      </c>
      <c r="Q74" s="41">
        <f t="shared" ref="Q74:Q105" si="31">(A74-B74)*(I_Cout_ss*$R$2+C74)</f>
        <v>60.591715976331358</v>
      </c>
    </row>
    <row r="75" spans="1:17" x14ac:dyDescent="0.25">
      <c r="A75" s="41">
        <f t="shared" si="24"/>
        <v>16</v>
      </c>
      <c r="B75" s="44">
        <f t="shared" si="25"/>
        <v>10</v>
      </c>
      <c r="C75" s="42">
        <f t="shared" si="26"/>
        <v>10</v>
      </c>
      <c r="D75" s="40"/>
      <c r="E75" s="42">
        <f>((('Device Parmaters'!$D$35)*COUTMAX)/(1000*'Design Calculator'!$F$69))+C75</f>
        <v>21</v>
      </c>
      <c r="F75" s="42">
        <f t="shared" si="27"/>
        <v>10.55</v>
      </c>
      <c r="G75" s="40">
        <f t="shared" ref="G75:G110" si="32">IF($F$2="YES", F75, E75)</f>
        <v>10.55</v>
      </c>
      <c r="H75" s="42">
        <f t="shared" si="28"/>
        <v>0.55000000000000071</v>
      </c>
      <c r="I75" s="43">
        <f t="shared" ref="I75:I106" si="33">(COUTMAX/1000000)*(B75-B74)/H75</f>
        <v>2.7972027972027837E-5</v>
      </c>
      <c r="J75" s="50">
        <f t="shared" si="12"/>
        <v>1.818181818181819E-3</v>
      </c>
      <c r="K75" s="150">
        <f t="shared" ref="K75:K114" si="34">J75*1000</f>
        <v>1.818181818181819</v>
      </c>
      <c r="L75" s="112">
        <f t="shared" ref="L75:L110" si="35">H75/G75</f>
        <v>5.2132701421801014E-2</v>
      </c>
      <c r="M75" s="41">
        <f t="shared" si="29"/>
        <v>5</v>
      </c>
      <c r="N75" s="41">
        <f t="shared" ref="N75:N110" si="36">I75*G75*(A75-B75)</f>
        <v>1.7706293706293624E-3</v>
      </c>
      <c r="O75" s="41">
        <f t="shared" ref="O75:O114" si="37">G75*(A75-B75)</f>
        <v>63.300000000000004</v>
      </c>
      <c r="P75" s="41">
        <f t="shared" si="30"/>
        <v>60</v>
      </c>
      <c r="Q75" s="41">
        <f t="shared" si="31"/>
        <v>60</v>
      </c>
    </row>
    <row r="76" spans="1:17" x14ac:dyDescent="0.25">
      <c r="A76" s="41">
        <f t="shared" si="24"/>
        <v>16</v>
      </c>
      <c r="B76" s="44">
        <f t="shared" si="25"/>
        <v>10.153846153846153</v>
      </c>
      <c r="C76" s="42">
        <f t="shared" si="26"/>
        <v>10.153846153846153</v>
      </c>
      <c r="D76" s="40"/>
      <c r="E76" s="42">
        <f>((('Device Parmaters'!$D$35)*COUTMAX)/(1000*'Design Calculator'!$F$69))+C76</f>
        <v>21.153846153846153</v>
      </c>
      <c r="F76" s="42">
        <f t="shared" si="27"/>
        <v>10.703846153846154</v>
      </c>
      <c r="G76" s="40">
        <f t="shared" si="32"/>
        <v>10.703846153846154</v>
      </c>
      <c r="H76" s="42">
        <f t="shared" si="28"/>
        <v>0.55000000000000071</v>
      </c>
      <c r="I76" s="43">
        <f t="shared" si="33"/>
        <v>2.7972027972027837E-5</v>
      </c>
      <c r="J76" s="50">
        <f t="shared" ref="J76:J110" si="38">J75+I76</f>
        <v>1.846153846153847E-3</v>
      </c>
      <c r="K76" s="150">
        <f t="shared" si="34"/>
        <v>1.8461538461538469</v>
      </c>
      <c r="L76" s="112">
        <f t="shared" si="35"/>
        <v>5.138339920948623E-2</v>
      </c>
      <c r="M76" s="41">
        <f t="shared" si="29"/>
        <v>4.2307692307692335</v>
      </c>
      <c r="N76" s="41">
        <f t="shared" si="36"/>
        <v>1.7503868912152852E-3</v>
      </c>
      <c r="O76" s="41">
        <f t="shared" si="37"/>
        <v>62.576331360946753</v>
      </c>
      <c r="P76" s="41">
        <f t="shared" si="30"/>
        <v>59.360946745562131</v>
      </c>
      <c r="Q76" s="41">
        <f t="shared" si="31"/>
        <v>59.360946745562131</v>
      </c>
    </row>
    <row r="77" spans="1:17" x14ac:dyDescent="0.25">
      <c r="A77" s="41">
        <f t="shared" si="24"/>
        <v>16</v>
      </c>
      <c r="B77" s="44">
        <f t="shared" si="25"/>
        <v>10.307692307692308</v>
      </c>
      <c r="C77" s="42">
        <f t="shared" si="26"/>
        <v>10.307692307692308</v>
      </c>
      <c r="D77" s="40"/>
      <c r="E77" s="42">
        <f>((('Device Parmaters'!$D$35)*COUTMAX)/(1000*'Design Calculator'!$F$69))+C77</f>
        <v>21.307692307692307</v>
      </c>
      <c r="F77" s="42">
        <f t="shared" si="27"/>
        <v>10.857692307692309</v>
      </c>
      <c r="G77" s="40">
        <f t="shared" si="32"/>
        <v>10.857692307692309</v>
      </c>
      <c r="H77" s="42">
        <f t="shared" si="28"/>
        <v>0.55000000000000071</v>
      </c>
      <c r="I77" s="43">
        <f t="shared" si="33"/>
        <v>2.7972027972028162E-5</v>
      </c>
      <c r="J77" s="50">
        <f t="shared" si="38"/>
        <v>1.8741258741258751E-3</v>
      </c>
      <c r="K77" s="150">
        <f t="shared" si="34"/>
        <v>1.8741258741258751</v>
      </c>
      <c r="L77" s="112">
        <f t="shared" si="35"/>
        <v>5.0655331207934882E-2</v>
      </c>
      <c r="M77" s="41">
        <f t="shared" si="29"/>
        <v>3.4615384615384497</v>
      </c>
      <c r="N77" s="41">
        <f t="shared" si="36"/>
        <v>1.7288202921339135E-3</v>
      </c>
      <c r="O77" s="41">
        <f t="shared" si="37"/>
        <v>61.805325443786984</v>
      </c>
      <c r="P77" s="41">
        <f t="shared" si="30"/>
        <v>58.674556213017752</v>
      </c>
      <c r="Q77" s="41">
        <f t="shared" si="31"/>
        <v>58.674556213017752</v>
      </c>
    </row>
    <row r="78" spans="1:17" x14ac:dyDescent="0.25">
      <c r="A78" s="41">
        <f t="shared" si="24"/>
        <v>16</v>
      </c>
      <c r="B78" s="44">
        <f t="shared" si="25"/>
        <v>10.461538461538462</v>
      </c>
      <c r="C78" s="42">
        <f t="shared" si="26"/>
        <v>10.461538461538462</v>
      </c>
      <c r="D78" s="40"/>
      <c r="E78" s="42">
        <f>((('Device Parmaters'!$D$35)*COUTMAX)/(1000*'Design Calculator'!$F$69))+C78</f>
        <v>21.46153846153846</v>
      </c>
      <c r="F78" s="42">
        <f t="shared" si="27"/>
        <v>11.011538461538462</v>
      </c>
      <c r="G78" s="40">
        <f t="shared" si="32"/>
        <v>11.011538461538462</v>
      </c>
      <c r="H78" s="42">
        <f t="shared" si="28"/>
        <v>0.55000000000000071</v>
      </c>
      <c r="I78" s="43">
        <f t="shared" si="33"/>
        <v>2.7972027972027837E-5</v>
      </c>
      <c r="J78" s="50">
        <f t="shared" si="38"/>
        <v>1.9020979020979031E-3</v>
      </c>
      <c r="K78" s="150">
        <f t="shared" si="34"/>
        <v>1.902097902097903</v>
      </c>
      <c r="L78" s="112">
        <f t="shared" si="35"/>
        <v>4.9947607404820182E-2</v>
      </c>
      <c r="M78" s="41">
        <f t="shared" si="29"/>
        <v>2.6923076923076827</v>
      </c>
      <c r="N78" s="41">
        <f t="shared" si="36"/>
        <v>1.7059295733851867E-3</v>
      </c>
      <c r="O78" s="41">
        <f t="shared" si="37"/>
        <v>60.986982248520711</v>
      </c>
      <c r="P78" s="41">
        <f t="shared" si="30"/>
        <v>57.940828402366861</v>
      </c>
      <c r="Q78" s="41">
        <f t="shared" si="31"/>
        <v>57.940828402366861</v>
      </c>
    </row>
    <row r="79" spans="1:17" x14ac:dyDescent="0.25">
      <c r="A79" s="41">
        <f t="shared" si="24"/>
        <v>16</v>
      </c>
      <c r="B79" s="44">
        <f t="shared" si="25"/>
        <v>10.615384615384615</v>
      </c>
      <c r="C79" s="42">
        <f t="shared" si="26"/>
        <v>10.615384615384615</v>
      </c>
      <c r="D79" s="40"/>
      <c r="E79" s="42">
        <f>((('Device Parmaters'!$D$35)*COUTMAX)/(1000*'Design Calculator'!$F$69))+C79</f>
        <v>21.615384615384613</v>
      </c>
      <c r="F79" s="42">
        <f t="shared" si="27"/>
        <v>11.165384615384616</v>
      </c>
      <c r="G79" s="40">
        <f t="shared" si="32"/>
        <v>11.165384615384616</v>
      </c>
      <c r="H79" s="42">
        <f t="shared" si="28"/>
        <v>0.55000000000000071</v>
      </c>
      <c r="I79" s="43">
        <f t="shared" si="33"/>
        <v>2.7972027972027837E-5</v>
      </c>
      <c r="J79" s="50">
        <f t="shared" si="38"/>
        <v>1.930069930069931E-3</v>
      </c>
      <c r="K79" s="150">
        <f t="shared" si="34"/>
        <v>1.9300699300699309</v>
      </c>
      <c r="L79" s="112">
        <f t="shared" si="35"/>
        <v>4.9259386841198821E-2</v>
      </c>
      <c r="M79" s="41">
        <f t="shared" si="29"/>
        <v>1.9230769230769162</v>
      </c>
      <c r="N79" s="41">
        <f t="shared" si="36"/>
        <v>1.6817147349691649E-3</v>
      </c>
      <c r="O79" s="41">
        <f t="shared" si="37"/>
        <v>60.121301775147934</v>
      </c>
      <c r="P79" s="41">
        <f t="shared" si="30"/>
        <v>57.159763313609467</v>
      </c>
      <c r="Q79" s="41">
        <f t="shared" si="31"/>
        <v>57.159763313609467</v>
      </c>
    </row>
    <row r="80" spans="1:17" x14ac:dyDescent="0.25">
      <c r="A80" s="41">
        <f t="shared" si="24"/>
        <v>16</v>
      </c>
      <c r="B80" s="44">
        <f t="shared" si="25"/>
        <v>10.76923076923077</v>
      </c>
      <c r="C80" s="42">
        <f t="shared" si="26"/>
        <v>10.76923076923077</v>
      </c>
      <c r="D80" s="40"/>
      <c r="E80" s="42">
        <f>((('Device Parmaters'!$D$35)*COUTMAX)/(1000*'Design Calculator'!$F$69))+C80</f>
        <v>21.76923076923077</v>
      </c>
      <c r="F80" s="42">
        <f t="shared" si="27"/>
        <v>11.319230769230771</v>
      </c>
      <c r="G80" s="40">
        <f t="shared" si="32"/>
        <v>11.319230769230771</v>
      </c>
      <c r="H80" s="42">
        <f t="shared" si="28"/>
        <v>0.55000000000000071</v>
      </c>
      <c r="I80" s="43">
        <f t="shared" si="33"/>
        <v>2.7972027972028162E-5</v>
      </c>
      <c r="J80" s="50">
        <f t="shared" si="38"/>
        <v>1.9580419580419593E-3</v>
      </c>
      <c r="K80" s="150">
        <f t="shared" si="34"/>
        <v>1.9580419580419592</v>
      </c>
      <c r="L80" s="112">
        <f t="shared" si="35"/>
        <v>4.8589874277947726E-2</v>
      </c>
      <c r="M80" s="41">
        <f t="shared" si="29"/>
        <v>1.1538461538461497</v>
      </c>
      <c r="N80" s="41">
        <f t="shared" si="36"/>
        <v>1.6561757768858471E-3</v>
      </c>
      <c r="O80" s="41">
        <f t="shared" si="37"/>
        <v>59.208284023668639</v>
      </c>
      <c r="P80" s="41">
        <f t="shared" si="30"/>
        <v>56.331360946745555</v>
      </c>
      <c r="Q80" s="41">
        <f t="shared" si="31"/>
        <v>56.331360946745555</v>
      </c>
    </row>
    <row r="81" spans="1:17" x14ac:dyDescent="0.25">
      <c r="A81" s="41">
        <f t="shared" si="24"/>
        <v>16</v>
      </c>
      <c r="B81" s="44">
        <f t="shared" si="25"/>
        <v>10.923076923076923</v>
      </c>
      <c r="C81" s="42">
        <f t="shared" si="26"/>
        <v>10.923076923076923</v>
      </c>
      <c r="D81" s="40"/>
      <c r="E81" s="42">
        <f>((('Device Parmaters'!$D$35)*COUTMAX)/(1000*'Design Calculator'!$F$69))+C81</f>
        <v>21.923076923076923</v>
      </c>
      <c r="F81" s="42">
        <f t="shared" si="27"/>
        <v>11.473076923076924</v>
      </c>
      <c r="G81" s="40">
        <f t="shared" si="32"/>
        <v>11.473076923076924</v>
      </c>
      <c r="H81" s="42">
        <f t="shared" si="28"/>
        <v>0.55000000000000071</v>
      </c>
      <c r="I81" s="43">
        <f t="shared" si="33"/>
        <v>2.7972027972027837E-5</v>
      </c>
      <c r="J81" s="50">
        <f t="shared" si="38"/>
        <v>1.9860139860139871E-3</v>
      </c>
      <c r="K81" s="150">
        <f t="shared" si="34"/>
        <v>1.9860139860139872</v>
      </c>
      <c r="L81" s="112">
        <f t="shared" si="35"/>
        <v>4.7938317130405687E-2</v>
      </c>
      <c r="M81" s="41">
        <f t="shared" si="29"/>
        <v>0.38461538461538325</v>
      </c>
      <c r="N81" s="41">
        <f t="shared" si="36"/>
        <v>1.6293126991351766E-3</v>
      </c>
      <c r="O81" s="41">
        <f t="shared" si="37"/>
        <v>58.247928994082841</v>
      </c>
      <c r="P81" s="41">
        <f t="shared" si="30"/>
        <v>55.455621301775146</v>
      </c>
      <c r="Q81" s="41">
        <f t="shared" si="31"/>
        <v>55.455621301775146</v>
      </c>
    </row>
    <row r="82" spans="1:17" x14ac:dyDescent="0.25">
      <c r="A82" s="41">
        <f t="shared" si="24"/>
        <v>16</v>
      </c>
      <c r="B82" s="44">
        <f t="shared" si="25"/>
        <v>11.076923076923077</v>
      </c>
      <c r="C82" s="42">
        <f t="shared" si="26"/>
        <v>11.076923076923077</v>
      </c>
      <c r="D82" s="40"/>
      <c r="E82" s="42">
        <f>((('Device Parmaters'!$D$35)*COUTMAX)/(1000*'Design Calculator'!$F$69))+C82</f>
        <v>22.076923076923077</v>
      </c>
      <c r="F82" s="42">
        <f t="shared" si="27"/>
        <v>11.626923076923077</v>
      </c>
      <c r="G82" s="40">
        <f t="shared" si="32"/>
        <v>11.626923076923077</v>
      </c>
      <c r="H82" s="42">
        <f t="shared" si="28"/>
        <v>0.55000000000000071</v>
      </c>
      <c r="I82" s="43">
        <f t="shared" si="33"/>
        <v>2.7972027972027837E-5</v>
      </c>
      <c r="J82" s="50">
        <f t="shared" si="38"/>
        <v>2.0139860139860148E-3</v>
      </c>
      <c r="K82" s="150">
        <f t="shared" si="34"/>
        <v>2.0139860139860146</v>
      </c>
      <c r="L82" s="112">
        <f t="shared" si="35"/>
        <v>4.7304002646377831E-2</v>
      </c>
      <c r="M82" s="41">
        <f t="shared" si="29"/>
        <v>-0.38461538461538325</v>
      </c>
      <c r="N82" s="41">
        <f t="shared" si="36"/>
        <v>1.60112550171721E-3</v>
      </c>
      <c r="O82" s="41">
        <f t="shared" si="37"/>
        <v>57.240236686390539</v>
      </c>
      <c r="P82" s="41">
        <f t="shared" si="30"/>
        <v>54.532544378698226</v>
      </c>
      <c r="Q82" s="41">
        <f t="shared" si="31"/>
        <v>54.532544378698226</v>
      </c>
    </row>
    <row r="83" spans="1:17" x14ac:dyDescent="0.25">
      <c r="A83" s="41">
        <f t="shared" si="24"/>
        <v>16</v>
      </c>
      <c r="B83" s="44">
        <f t="shared" si="25"/>
        <v>11.23076923076923</v>
      </c>
      <c r="C83" s="42">
        <f t="shared" si="26"/>
        <v>11.23076923076923</v>
      </c>
      <c r="D83" s="40"/>
      <c r="E83" s="42">
        <f>((('Device Parmaters'!$D$35)*COUTMAX)/(1000*'Design Calculator'!$F$69))+C83</f>
        <v>22.23076923076923</v>
      </c>
      <c r="F83" s="42">
        <f t="shared" si="27"/>
        <v>11.780769230769231</v>
      </c>
      <c r="G83" s="40">
        <f t="shared" si="32"/>
        <v>11.780769230769231</v>
      </c>
      <c r="H83" s="42">
        <f t="shared" si="28"/>
        <v>0.55000000000000071</v>
      </c>
      <c r="I83" s="43">
        <f t="shared" si="33"/>
        <v>2.7972027972027837E-5</v>
      </c>
      <c r="J83" s="50">
        <f t="shared" si="38"/>
        <v>2.0419580419580425E-3</v>
      </c>
      <c r="K83" s="150">
        <f t="shared" si="34"/>
        <v>2.0419580419580425</v>
      </c>
      <c r="L83" s="112">
        <f t="shared" si="35"/>
        <v>4.6686255305256344E-2</v>
      </c>
      <c r="M83" s="41">
        <f t="shared" si="29"/>
        <v>-1.1538461538461497</v>
      </c>
      <c r="N83" s="41">
        <f t="shared" si="36"/>
        <v>1.5716141846319289E-3</v>
      </c>
      <c r="O83" s="41">
        <f t="shared" si="37"/>
        <v>56.185207100591725</v>
      </c>
      <c r="P83" s="41">
        <f t="shared" si="30"/>
        <v>53.562130177514796</v>
      </c>
      <c r="Q83" s="41">
        <f t="shared" si="31"/>
        <v>53.562130177514796</v>
      </c>
    </row>
    <row r="84" spans="1:17" x14ac:dyDescent="0.25">
      <c r="A84" s="41">
        <f t="shared" si="24"/>
        <v>16</v>
      </c>
      <c r="B84" s="44">
        <f t="shared" si="25"/>
        <v>11.384615384615385</v>
      </c>
      <c r="C84" s="42">
        <f t="shared" si="26"/>
        <v>11.384615384615385</v>
      </c>
      <c r="D84" s="40"/>
      <c r="E84" s="42">
        <f>((('Device Parmaters'!$D$35)*COUTMAX)/(1000*'Design Calculator'!$F$69))+C84</f>
        <v>22.384615384615387</v>
      </c>
      <c r="F84" s="42">
        <f t="shared" si="27"/>
        <v>11.934615384615386</v>
      </c>
      <c r="G84" s="40">
        <f t="shared" si="32"/>
        <v>11.934615384615386</v>
      </c>
      <c r="H84" s="42">
        <f t="shared" si="28"/>
        <v>0.55000000000000071</v>
      </c>
      <c r="I84" s="43">
        <f t="shared" si="33"/>
        <v>2.7972027972028162E-5</v>
      </c>
      <c r="J84" s="50">
        <f t="shared" si="38"/>
        <v>2.0699300699300706E-3</v>
      </c>
      <c r="K84" s="150">
        <f t="shared" si="34"/>
        <v>2.0699300699300704</v>
      </c>
      <c r="L84" s="112">
        <f t="shared" si="35"/>
        <v>4.6084434418304919E-2</v>
      </c>
      <c r="M84" s="41">
        <f t="shared" si="29"/>
        <v>-1.9230769230769162</v>
      </c>
      <c r="N84" s="41">
        <f t="shared" si="36"/>
        <v>1.5407787478793503E-3</v>
      </c>
      <c r="O84" s="41">
        <f t="shared" si="37"/>
        <v>55.082840236686394</v>
      </c>
      <c r="P84" s="41">
        <f t="shared" si="30"/>
        <v>52.544378698224847</v>
      </c>
      <c r="Q84" s="41">
        <f t="shared" si="31"/>
        <v>52.544378698224847</v>
      </c>
    </row>
    <row r="85" spans="1:17" x14ac:dyDescent="0.25">
      <c r="A85" s="41">
        <f t="shared" si="24"/>
        <v>16</v>
      </c>
      <c r="B85" s="44">
        <f t="shared" si="25"/>
        <v>11.538461538461538</v>
      </c>
      <c r="C85" s="42">
        <f t="shared" si="26"/>
        <v>11.538461538461538</v>
      </c>
      <c r="D85" s="40"/>
      <c r="E85" s="42">
        <f>((('Device Parmaters'!$D$35)*COUTMAX)/(1000*'Design Calculator'!$F$69))+C85</f>
        <v>22.53846153846154</v>
      </c>
      <c r="F85" s="42">
        <f t="shared" si="27"/>
        <v>12.088461538461539</v>
      </c>
      <c r="G85" s="40">
        <f t="shared" si="32"/>
        <v>12.088461538461539</v>
      </c>
      <c r="H85" s="42">
        <f t="shared" si="28"/>
        <v>0.55000000000000071</v>
      </c>
      <c r="I85" s="43">
        <f t="shared" si="33"/>
        <v>2.7972027972027837E-5</v>
      </c>
      <c r="J85" s="50">
        <f t="shared" si="38"/>
        <v>2.0979020979020983E-3</v>
      </c>
      <c r="K85" s="150">
        <f t="shared" si="34"/>
        <v>2.0979020979020984</v>
      </c>
      <c r="L85" s="112">
        <f t="shared" si="35"/>
        <v>4.5497931912185867E-2</v>
      </c>
      <c r="M85" s="41">
        <f t="shared" si="29"/>
        <v>-2.6923076923076827</v>
      </c>
      <c r="N85" s="41">
        <f t="shared" si="36"/>
        <v>1.5086191914594209E-3</v>
      </c>
      <c r="O85" s="41">
        <f t="shared" si="37"/>
        <v>53.933136094674559</v>
      </c>
      <c r="P85" s="41">
        <f t="shared" si="30"/>
        <v>51.479289940828401</v>
      </c>
      <c r="Q85" s="41">
        <f t="shared" si="31"/>
        <v>51.479289940828401</v>
      </c>
    </row>
    <row r="86" spans="1:17" x14ac:dyDescent="0.25">
      <c r="A86" s="41">
        <f t="shared" si="24"/>
        <v>16</v>
      </c>
      <c r="B86" s="44">
        <f t="shared" si="25"/>
        <v>11.692307692307692</v>
      </c>
      <c r="C86" s="42">
        <f t="shared" si="26"/>
        <v>11.692307692307692</v>
      </c>
      <c r="D86" s="40"/>
      <c r="E86" s="42">
        <f>((('Device Parmaters'!$D$35)*COUTMAX)/(1000*'Design Calculator'!$F$69))+C86</f>
        <v>22.692307692307693</v>
      </c>
      <c r="F86" s="42">
        <f t="shared" si="27"/>
        <v>12.242307692307692</v>
      </c>
      <c r="G86" s="40">
        <f t="shared" si="32"/>
        <v>12.242307692307692</v>
      </c>
      <c r="H86" s="42">
        <f t="shared" si="28"/>
        <v>0.55000000000000071</v>
      </c>
      <c r="I86" s="43">
        <f t="shared" si="33"/>
        <v>2.7972027972027837E-5</v>
      </c>
      <c r="J86" s="50">
        <f t="shared" si="38"/>
        <v>2.125874125874126E-3</v>
      </c>
      <c r="K86" s="150">
        <f t="shared" si="34"/>
        <v>2.1258741258741258</v>
      </c>
      <c r="L86" s="112">
        <f t="shared" si="35"/>
        <v>4.4926170279610489E-2</v>
      </c>
      <c r="M86" s="41">
        <f t="shared" si="29"/>
        <v>-3.4615384615384497</v>
      </c>
      <c r="N86" s="41">
        <f t="shared" si="36"/>
        <v>1.475135515372195E-3</v>
      </c>
      <c r="O86" s="41">
        <f t="shared" si="37"/>
        <v>52.73609467455622</v>
      </c>
      <c r="P86" s="41">
        <f t="shared" si="30"/>
        <v>50.366863905325452</v>
      </c>
      <c r="Q86" s="41">
        <f t="shared" si="31"/>
        <v>50.366863905325452</v>
      </c>
    </row>
    <row r="87" spans="1:17" x14ac:dyDescent="0.25">
      <c r="A87" s="41">
        <f t="shared" si="24"/>
        <v>16</v>
      </c>
      <c r="B87" s="44">
        <f t="shared" si="25"/>
        <v>11.846153846153847</v>
      </c>
      <c r="C87" s="42">
        <f t="shared" si="26"/>
        <v>11.846153846153847</v>
      </c>
      <c r="D87" s="40"/>
      <c r="E87" s="42">
        <f>((('Device Parmaters'!$D$35)*COUTMAX)/(1000*'Design Calculator'!$F$69))+C87</f>
        <v>22.846153846153847</v>
      </c>
      <c r="F87" s="42">
        <f t="shared" si="27"/>
        <v>12.396153846153847</v>
      </c>
      <c r="G87" s="40">
        <f t="shared" si="32"/>
        <v>12.396153846153847</v>
      </c>
      <c r="H87" s="42">
        <f t="shared" si="28"/>
        <v>0.55000000000000071</v>
      </c>
      <c r="I87" s="43">
        <f t="shared" si="33"/>
        <v>2.7972027972028162E-5</v>
      </c>
      <c r="J87" s="50">
        <f t="shared" si="38"/>
        <v>2.1538461538461542E-3</v>
      </c>
      <c r="K87" s="150">
        <f t="shared" si="34"/>
        <v>2.1538461538461542</v>
      </c>
      <c r="L87" s="112">
        <f t="shared" si="35"/>
        <v>4.4368600682593906E-2</v>
      </c>
      <c r="M87" s="41">
        <f t="shared" si="29"/>
        <v>-4.2307692307692335</v>
      </c>
      <c r="N87" s="41">
        <f t="shared" si="36"/>
        <v>1.4403277196176701E-3</v>
      </c>
      <c r="O87" s="41">
        <f t="shared" si="37"/>
        <v>51.491715976331356</v>
      </c>
      <c r="P87" s="41">
        <f t="shared" si="30"/>
        <v>49.207100591715971</v>
      </c>
      <c r="Q87" s="41">
        <f t="shared" si="31"/>
        <v>49.207100591715971</v>
      </c>
    </row>
    <row r="88" spans="1:17" x14ac:dyDescent="0.25">
      <c r="A88" s="41">
        <f t="shared" si="24"/>
        <v>16</v>
      </c>
      <c r="B88" s="44">
        <f t="shared" si="25"/>
        <v>12</v>
      </c>
      <c r="C88" s="42">
        <f t="shared" si="26"/>
        <v>12</v>
      </c>
      <c r="D88" s="40"/>
      <c r="E88" s="42">
        <f>((('Device Parmaters'!$D$35)*COUTMAX)/(1000*'Design Calculator'!$F$69))+C88</f>
        <v>23</v>
      </c>
      <c r="F88" s="42">
        <f t="shared" si="27"/>
        <v>12.55</v>
      </c>
      <c r="G88" s="40">
        <f t="shared" si="32"/>
        <v>12.55</v>
      </c>
      <c r="H88" s="42">
        <f t="shared" si="28"/>
        <v>0.55000000000000071</v>
      </c>
      <c r="I88" s="43">
        <f t="shared" si="33"/>
        <v>2.7972027972027837E-5</v>
      </c>
      <c r="J88" s="50">
        <f t="shared" si="38"/>
        <v>2.1818181818181819E-3</v>
      </c>
      <c r="K88" s="150">
        <f t="shared" si="34"/>
        <v>2.1818181818181821</v>
      </c>
      <c r="L88" s="112">
        <f t="shared" si="35"/>
        <v>4.3824701195219175E-2</v>
      </c>
      <c r="M88" s="41">
        <f t="shared" si="29"/>
        <v>-5</v>
      </c>
      <c r="N88" s="41">
        <f t="shared" si="36"/>
        <v>1.4041958041957974E-3</v>
      </c>
      <c r="O88" s="41">
        <f t="shared" si="37"/>
        <v>50.2</v>
      </c>
      <c r="P88" s="41">
        <f t="shared" si="30"/>
        <v>48</v>
      </c>
      <c r="Q88" s="41">
        <f t="shared" si="31"/>
        <v>48</v>
      </c>
    </row>
    <row r="89" spans="1:17" x14ac:dyDescent="0.25">
      <c r="A89" s="41">
        <f t="shared" si="24"/>
        <v>16</v>
      </c>
      <c r="B89" s="44">
        <f t="shared" si="25"/>
        <v>12.153846153846153</v>
      </c>
      <c r="C89" s="42">
        <f t="shared" si="26"/>
        <v>12.153846153846153</v>
      </c>
      <c r="D89" s="40"/>
      <c r="E89" s="42">
        <f>((('Device Parmaters'!$D$35)*COUTMAX)/(1000*'Design Calculator'!$F$69))+C89</f>
        <v>23.153846153846153</v>
      </c>
      <c r="F89" s="42">
        <f t="shared" si="27"/>
        <v>12.703846153846154</v>
      </c>
      <c r="G89" s="40">
        <f t="shared" si="32"/>
        <v>12.703846153846154</v>
      </c>
      <c r="H89" s="42">
        <f t="shared" si="28"/>
        <v>0.55000000000000071</v>
      </c>
      <c r="I89" s="43">
        <f t="shared" si="33"/>
        <v>2.7972027972027837E-5</v>
      </c>
      <c r="J89" s="50">
        <f t="shared" si="38"/>
        <v>2.2097902097902096E-3</v>
      </c>
      <c r="K89" s="150">
        <f t="shared" si="34"/>
        <v>2.2097902097902096</v>
      </c>
      <c r="L89" s="112">
        <f t="shared" si="35"/>
        <v>4.3293975174084225E-2</v>
      </c>
      <c r="M89" s="41">
        <f t="shared" si="29"/>
        <v>-5.7692307692307674</v>
      </c>
      <c r="N89" s="41">
        <f t="shared" si="36"/>
        <v>1.3667397691066268E-3</v>
      </c>
      <c r="O89" s="41">
        <f t="shared" si="37"/>
        <v>48.860946745562138</v>
      </c>
      <c r="P89" s="41">
        <f t="shared" si="30"/>
        <v>46.745562130177518</v>
      </c>
      <c r="Q89" s="41">
        <f t="shared" si="31"/>
        <v>46.745562130177518</v>
      </c>
    </row>
    <row r="90" spans="1:17" x14ac:dyDescent="0.25">
      <c r="A90" s="41">
        <f t="shared" si="24"/>
        <v>16</v>
      </c>
      <c r="B90" s="44">
        <f t="shared" si="25"/>
        <v>12.307692307692308</v>
      </c>
      <c r="C90" s="42">
        <f t="shared" si="26"/>
        <v>12.307692307692308</v>
      </c>
      <c r="D90" s="40"/>
      <c r="E90" s="42">
        <f>((('Device Parmaters'!$D$35)*COUTMAX)/(1000*'Design Calculator'!$F$69))+C90</f>
        <v>23.307692307692307</v>
      </c>
      <c r="F90" s="42">
        <f t="shared" si="27"/>
        <v>12.857692307692309</v>
      </c>
      <c r="G90" s="40">
        <f t="shared" si="32"/>
        <v>12.857692307692309</v>
      </c>
      <c r="H90" s="42">
        <f t="shared" si="28"/>
        <v>0.55000000000000071</v>
      </c>
      <c r="I90" s="43">
        <f t="shared" si="33"/>
        <v>2.7972027972028162E-5</v>
      </c>
      <c r="J90" s="50">
        <f t="shared" si="38"/>
        <v>2.2377622377622378E-3</v>
      </c>
      <c r="K90" s="150">
        <f t="shared" si="34"/>
        <v>2.2377622377622379</v>
      </c>
      <c r="L90" s="112">
        <f t="shared" si="35"/>
        <v>4.277594974573741E-2</v>
      </c>
      <c r="M90" s="41">
        <f t="shared" si="29"/>
        <v>-6.5384615384615508</v>
      </c>
      <c r="N90" s="41">
        <f t="shared" si="36"/>
        <v>1.3279596143501557E-3</v>
      </c>
      <c r="O90" s="41">
        <f t="shared" si="37"/>
        <v>47.474556213017749</v>
      </c>
      <c r="P90" s="41">
        <f t="shared" si="30"/>
        <v>45.443786982248518</v>
      </c>
      <c r="Q90" s="41">
        <f t="shared" si="31"/>
        <v>45.443786982248518</v>
      </c>
    </row>
    <row r="91" spans="1:17" x14ac:dyDescent="0.25">
      <c r="A91" s="41">
        <f t="shared" si="24"/>
        <v>16</v>
      </c>
      <c r="B91" s="44">
        <f t="shared" si="25"/>
        <v>12.461538461538462</v>
      </c>
      <c r="C91" s="42">
        <f t="shared" si="26"/>
        <v>12.461538461538462</v>
      </c>
      <c r="D91" s="40"/>
      <c r="E91" s="42">
        <f>((('Device Parmaters'!$D$35)*COUTMAX)/(1000*'Design Calculator'!$F$69))+C91</f>
        <v>23.46153846153846</v>
      </c>
      <c r="F91" s="42">
        <f t="shared" si="27"/>
        <v>13.011538461538462</v>
      </c>
      <c r="G91" s="40">
        <f t="shared" si="32"/>
        <v>13.011538461538462</v>
      </c>
      <c r="H91" s="42">
        <f t="shared" si="28"/>
        <v>0.55000000000000071</v>
      </c>
      <c r="I91" s="43">
        <f t="shared" si="33"/>
        <v>2.7972027972027837E-5</v>
      </c>
      <c r="J91" s="50">
        <f t="shared" si="38"/>
        <v>2.2657342657342655E-3</v>
      </c>
      <c r="K91" s="150">
        <f t="shared" si="34"/>
        <v>2.2657342657342654</v>
      </c>
      <c r="L91" s="112">
        <f t="shared" si="35"/>
        <v>4.2270174401418913E-2</v>
      </c>
      <c r="M91" s="41">
        <f t="shared" si="29"/>
        <v>-7.3076923076923173</v>
      </c>
      <c r="N91" s="41">
        <f t="shared" si="36"/>
        <v>1.2878553399263395E-3</v>
      </c>
      <c r="O91" s="41">
        <f t="shared" si="37"/>
        <v>46.040828402366863</v>
      </c>
      <c r="P91" s="41">
        <f t="shared" si="30"/>
        <v>44.094674556213015</v>
      </c>
      <c r="Q91" s="41">
        <f t="shared" si="31"/>
        <v>44.094674556213015</v>
      </c>
    </row>
    <row r="92" spans="1:17" x14ac:dyDescent="0.25">
      <c r="A92" s="41">
        <f t="shared" si="24"/>
        <v>16</v>
      </c>
      <c r="B92" s="44">
        <f t="shared" si="25"/>
        <v>12.615384615384615</v>
      </c>
      <c r="C92" s="42">
        <f t="shared" si="26"/>
        <v>12.615384615384615</v>
      </c>
      <c r="D92" s="40"/>
      <c r="E92" s="42">
        <f>((('Device Parmaters'!$D$35)*COUTMAX)/(1000*'Design Calculator'!$F$69))+C92</f>
        <v>23.615384615384613</v>
      </c>
      <c r="F92" s="42">
        <f t="shared" si="27"/>
        <v>13.165384615384616</v>
      </c>
      <c r="G92" s="40">
        <f t="shared" si="32"/>
        <v>13.165384615384616</v>
      </c>
      <c r="H92" s="42">
        <f t="shared" si="28"/>
        <v>0.55000000000000071</v>
      </c>
      <c r="I92" s="43">
        <f t="shared" si="33"/>
        <v>2.7972027972027837E-5</v>
      </c>
      <c r="J92" s="50">
        <f t="shared" si="38"/>
        <v>2.2937062937062932E-3</v>
      </c>
      <c r="K92" s="150">
        <f t="shared" si="34"/>
        <v>2.2937062937062933</v>
      </c>
      <c r="L92" s="112">
        <f t="shared" si="35"/>
        <v>4.1776219690330171E-2</v>
      </c>
      <c r="M92" s="41">
        <f t="shared" si="29"/>
        <v>-8.0769230769230838</v>
      </c>
      <c r="N92" s="41">
        <f t="shared" si="36"/>
        <v>1.2464269458352241E-3</v>
      </c>
      <c r="O92" s="41">
        <f t="shared" si="37"/>
        <v>44.559763313609473</v>
      </c>
      <c r="P92" s="41">
        <f t="shared" si="30"/>
        <v>42.698224852071007</v>
      </c>
      <c r="Q92" s="41">
        <f t="shared" si="31"/>
        <v>42.698224852071007</v>
      </c>
    </row>
    <row r="93" spans="1:17" x14ac:dyDescent="0.25">
      <c r="A93" s="41">
        <f t="shared" si="24"/>
        <v>16</v>
      </c>
      <c r="B93" s="44">
        <f t="shared" si="25"/>
        <v>12.76923076923077</v>
      </c>
      <c r="C93" s="42">
        <f t="shared" si="26"/>
        <v>12.76923076923077</v>
      </c>
      <c r="D93" s="40"/>
      <c r="E93" s="42">
        <f>((('Device Parmaters'!$D$35)*COUTMAX)/(1000*'Design Calculator'!$F$69))+C93</f>
        <v>23.76923076923077</v>
      </c>
      <c r="F93" s="42">
        <f t="shared" si="27"/>
        <v>13.319230769230771</v>
      </c>
      <c r="G93" s="40">
        <f t="shared" si="32"/>
        <v>13.319230769230771</v>
      </c>
      <c r="H93" s="42">
        <f t="shared" si="28"/>
        <v>0.55000000000000071</v>
      </c>
      <c r="I93" s="43">
        <f t="shared" si="33"/>
        <v>2.7972027972028162E-5</v>
      </c>
      <c r="J93" s="50">
        <f t="shared" si="38"/>
        <v>2.3216783216783213E-3</v>
      </c>
      <c r="K93" s="150">
        <f t="shared" si="34"/>
        <v>2.3216783216783212</v>
      </c>
      <c r="L93" s="112">
        <f t="shared" si="35"/>
        <v>4.129367600346525E-2</v>
      </c>
      <c r="M93" s="41">
        <f t="shared" si="29"/>
        <v>-8.8461538461538503</v>
      </c>
      <c r="N93" s="41">
        <f t="shared" si="36"/>
        <v>1.2036744320768069E-3</v>
      </c>
      <c r="O93" s="41">
        <f t="shared" si="37"/>
        <v>43.031360946745558</v>
      </c>
      <c r="P93" s="41">
        <f t="shared" si="30"/>
        <v>41.254437869822475</v>
      </c>
      <c r="Q93" s="41">
        <f t="shared" si="31"/>
        <v>41.254437869822475</v>
      </c>
    </row>
    <row r="94" spans="1:17" x14ac:dyDescent="0.25">
      <c r="A94" s="41">
        <f t="shared" si="24"/>
        <v>16</v>
      </c>
      <c r="B94" s="44">
        <f t="shared" si="25"/>
        <v>12.923076923076923</v>
      </c>
      <c r="C94" s="42">
        <f t="shared" si="26"/>
        <v>12.923076923076923</v>
      </c>
      <c r="D94" s="40"/>
      <c r="E94" s="42">
        <f>((('Device Parmaters'!$D$35)*COUTMAX)/(1000*'Design Calculator'!$F$69))+C94</f>
        <v>23.923076923076923</v>
      </c>
      <c r="F94" s="42">
        <f t="shared" si="27"/>
        <v>13.473076923076924</v>
      </c>
      <c r="G94" s="40">
        <f t="shared" si="32"/>
        <v>13.473076923076924</v>
      </c>
      <c r="H94" s="42">
        <f t="shared" si="28"/>
        <v>0.55000000000000071</v>
      </c>
      <c r="I94" s="43">
        <f t="shared" si="33"/>
        <v>2.7972027972027837E-5</v>
      </c>
      <c r="J94" s="50">
        <f t="shared" si="38"/>
        <v>2.349650349650349E-3</v>
      </c>
      <c r="K94" s="150">
        <f t="shared" si="34"/>
        <v>2.3496503496503491</v>
      </c>
      <c r="L94" s="112">
        <f t="shared" si="35"/>
        <v>4.0822152440765105E-2</v>
      </c>
      <c r="M94" s="41">
        <f t="shared" si="29"/>
        <v>-9.6153846153846185</v>
      </c>
      <c r="N94" s="41">
        <f t="shared" si="36"/>
        <v>1.1595977986510475E-3</v>
      </c>
      <c r="O94" s="41">
        <f t="shared" si="37"/>
        <v>41.455621301775146</v>
      </c>
      <c r="P94" s="41">
        <f t="shared" si="30"/>
        <v>39.763313609467453</v>
      </c>
      <c r="Q94" s="41">
        <f t="shared" si="31"/>
        <v>39.763313609467453</v>
      </c>
    </row>
    <row r="95" spans="1:17" x14ac:dyDescent="0.25">
      <c r="A95" s="41">
        <f t="shared" si="24"/>
        <v>16</v>
      </c>
      <c r="B95" s="44">
        <f t="shared" si="25"/>
        <v>13.076923076923077</v>
      </c>
      <c r="C95" s="42">
        <f t="shared" si="26"/>
        <v>13.076923076923077</v>
      </c>
      <c r="D95" s="40"/>
      <c r="E95" s="42">
        <f>((('Device Parmaters'!$D$35)*COUTMAX)/(1000*'Design Calculator'!$F$69))+C95</f>
        <v>24.076923076923077</v>
      </c>
      <c r="F95" s="42">
        <f t="shared" si="27"/>
        <v>13.626923076923077</v>
      </c>
      <c r="G95" s="40">
        <f t="shared" si="32"/>
        <v>13.626923076923077</v>
      </c>
      <c r="H95" s="42">
        <f t="shared" si="28"/>
        <v>0.55000000000000071</v>
      </c>
      <c r="I95" s="43">
        <f t="shared" si="33"/>
        <v>2.7972027972027837E-5</v>
      </c>
      <c r="J95" s="50">
        <f t="shared" si="38"/>
        <v>2.3776223776223768E-3</v>
      </c>
      <c r="K95" s="150">
        <f t="shared" si="34"/>
        <v>2.3776223776223766</v>
      </c>
      <c r="L95" s="112">
        <f t="shared" si="35"/>
        <v>4.0361275755009932E-2</v>
      </c>
      <c r="M95" s="41">
        <f t="shared" si="29"/>
        <v>-10.384615384615383</v>
      </c>
      <c r="N95" s="41">
        <f t="shared" si="36"/>
        <v>1.114197045557987E-3</v>
      </c>
      <c r="O95" s="41">
        <f t="shared" si="37"/>
        <v>39.832544378698231</v>
      </c>
      <c r="P95" s="41">
        <f t="shared" si="30"/>
        <v>38.22485207100592</v>
      </c>
      <c r="Q95" s="41">
        <f t="shared" si="31"/>
        <v>38.22485207100592</v>
      </c>
    </row>
    <row r="96" spans="1:17" x14ac:dyDescent="0.25">
      <c r="A96" s="41">
        <f t="shared" si="24"/>
        <v>16</v>
      </c>
      <c r="B96" s="44">
        <f t="shared" si="25"/>
        <v>13.23076923076923</v>
      </c>
      <c r="C96" s="42">
        <f t="shared" si="26"/>
        <v>13.23076923076923</v>
      </c>
      <c r="D96" s="40"/>
      <c r="E96" s="42">
        <f>((('Device Parmaters'!$D$35)*COUTMAX)/(1000*'Design Calculator'!$F$69))+C96</f>
        <v>24.23076923076923</v>
      </c>
      <c r="F96" s="42">
        <f t="shared" si="27"/>
        <v>13.780769230769231</v>
      </c>
      <c r="G96" s="40">
        <f t="shared" si="32"/>
        <v>13.780769230769231</v>
      </c>
      <c r="H96" s="42">
        <f t="shared" si="28"/>
        <v>0.55000000000000071</v>
      </c>
      <c r="I96" s="43">
        <f t="shared" si="33"/>
        <v>2.7972027972027837E-5</v>
      </c>
      <c r="J96" s="50">
        <f t="shared" si="38"/>
        <v>2.4055944055944045E-3</v>
      </c>
      <c r="K96" s="150">
        <f t="shared" si="34"/>
        <v>2.4055944055944045</v>
      </c>
      <c r="L96" s="112">
        <f t="shared" si="35"/>
        <v>3.9910689366452742E-2</v>
      </c>
      <c r="M96" s="41">
        <f t="shared" si="29"/>
        <v>-11.15384615384615</v>
      </c>
      <c r="N96" s="41">
        <f t="shared" si="36"/>
        <v>1.0674721727976118E-3</v>
      </c>
      <c r="O96" s="41">
        <f t="shared" si="37"/>
        <v>38.162130177514804</v>
      </c>
      <c r="P96" s="41">
        <f t="shared" si="30"/>
        <v>36.639053254437876</v>
      </c>
      <c r="Q96" s="41">
        <f t="shared" si="31"/>
        <v>36.639053254437876</v>
      </c>
    </row>
    <row r="97" spans="1:17" x14ac:dyDescent="0.25">
      <c r="A97" s="41">
        <f t="shared" si="24"/>
        <v>16</v>
      </c>
      <c r="B97" s="44">
        <f t="shared" si="25"/>
        <v>13.384615384615385</v>
      </c>
      <c r="C97" s="42">
        <f t="shared" si="26"/>
        <v>13.384615384615385</v>
      </c>
      <c r="D97" s="40"/>
      <c r="E97" s="42">
        <f>((('Device Parmaters'!$D$35)*COUTMAX)/(1000*'Design Calculator'!$F$69))+C97</f>
        <v>24.384615384615387</v>
      </c>
      <c r="F97" s="42">
        <f t="shared" si="27"/>
        <v>13.934615384615386</v>
      </c>
      <c r="G97" s="40">
        <f t="shared" si="32"/>
        <v>13.934615384615386</v>
      </c>
      <c r="H97" s="42">
        <f t="shared" si="28"/>
        <v>0.55000000000000071</v>
      </c>
      <c r="I97" s="43">
        <f t="shared" si="33"/>
        <v>2.7972027972028162E-5</v>
      </c>
      <c r="J97" s="50">
        <f t="shared" si="38"/>
        <v>2.4335664335664326E-3</v>
      </c>
      <c r="K97" s="150">
        <f t="shared" si="34"/>
        <v>2.4335664335664324</v>
      </c>
      <c r="L97" s="112">
        <f t="shared" si="35"/>
        <v>3.9470052442727069E-2</v>
      </c>
      <c r="M97" s="41">
        <f t="shared" si="29"/>
        <v>-11.923076923076916</v>
      </c>
      <c r="N97" s="41">
        <f t="shared" si="36"/>
        <v>1.0194231803699327E-3</v>
      </c>
      <c r="O97" s="41">
        <f t="shared" si="37"/>
        <v>36.444378698224853</v>
      </c>
      <c r="P97" s="41">
        <f t="shared" si="30"/>
        <v>35.005917159763307</v>
      </c>
      <c r="Q97" s="41">
        <f t="shared" si="31"/>
        <v>35.005917159763307</v>
      </c>
    </row>
    <row r="98" spans="1:17" x14ac:dyDescent="0.25">
      <c r="A98" s="41">
        <f t="shared" si="24"/>
        <v>16</v>
      </c>
      <c r="B98" s="44">
        <f t="shared" si="25"/>
        <v>13.538461538461538</v>
      </c>
      <c r="C98" s="42">
        <f t="shared" si="26"/>
        <v>13.538461538461538</v>
      </c>
      <c r="D98" s="40"/>
      <c r="E98" s="42">
        <f>((('Device Parmaters'!$D$35)*COUTMAX)/(1000*'Design Calculator'!$F$69))+C98</f>
        <v>24.53846153846154</v>
      </c>
      <c r="F98" s="42">
        <f t="shared" si="27"/>
        <v>14.088461538461539</v>
      </c>
      <c r="G98" s="40">
        <f t="shared" si="32"/>
        <v>14.088461538461539</v>
      </c>
      <c r="H98" s="42">
        <f t="shared" si="28"/>
        <v>0.55000000000000071</v>
      </c>
      <c r="I98" s="43">
        <f t="shared" si="33"/>
        <v>2.7972027972027837E-5</v>
      </c>
      <c r="J98" s="50">
        <f t="shared" si="38"/>
        <v>2.4615384615384603E-3</v>
      </c>
      <c r="K98" s="150">
        <f t="shared" si="34"/>
        <v>2.4615384615384603</v>
      </c>
      <c r="L98" s="112">
        <f t="shared" si="35"/>
        <v>3.9039039039039089E-2</v>
      </c>
      <c r="M98" s="41">
        <f t="shared" si="29"/>
        <v>-12.692307692307683</v>
      </c>
      <c r="N98" s="41">
        <f t="shared" si="36"/>
        <v>9.7005006827491575E-4</v>
      </c>
      <c r="O98" s="41">
        <f t="shared" si="37"/>
        <v>34.679289940828404</v>
      </c>
      <c r="P98" s="41">
        <f t="shared" si="30"/>
        <v>33.325443786982248</v>
      </c>
      <c r="Q98" s="41">
        <f t="shared" si="31"/>
        <v>33.325443786982248</v>
      </c>
    </row>
    <row r="99" spans="1:17" x14ac:dyDescent="0.25">
      <c r="A99" s="41">
        <f t="shared" si="24"/>
        <v>16</v>
      </c>
      <c r="B99" s="44">
        <f t="shared" si="25"/>
        <v>13.692307692307692</v>
      </c>
      <c r="C99" s="42">
        <f t="shared" si="26"/>
        <v>13.692307692307692</v>
      </c>
      <c r="D99" s="40"/>
      <c r="E99" s="42">
        <f>((('Device Parmaters'!$D$35)*COUTMAX)/(1000*'Design Calculator'!$F$69))+C99</f>
        <v>24.692307692307693</v>
      </c>
      <c r="F99" s="42">
        <f t="shared" si="27"/>
        <v>14.242307692307692</v>
      </c>
      <c r="G99" s="40">
        <f t="shared" si="32"/>
        <v>14.242307692307692</v>
      </c>
      <c r="H99" s="42">
        <f t="shared" si="28"/>
        <v>0.55000000000000071</v>
      </c>
      <c r="I99" s="43">
        <f t="shared" si="33"/>
        <v>2.7972027972027837E-5</v>
      </c>
      <c r="J99" s="50">
        <f t="shared" si="38"/>
        <v>2.489510489510488E-3</v>
      </c>
      <c r="K99" s="150">
        <f t="shared" si="34"/>
        <v>2.4895104895104883</v>
      </c>
      <c r="L99" s="112">
        <f t="shared" si="35"/>
        <v>3.8617337294085924E-2</v>
      </c>
      <c r="M99" s="41">
        <f t="shared" si="29"/>
        <v>-13.461538461538451</v>
      </c>
      <c r="N99" s="41">
        <f t="shared" si="36"/>
        <v>9.1935283651259565E-4</v>
      </c>
      <c r="O99" s="41">
        <f t="shared" si="37"/>
        <v>32.866863905325452</v>
      </c>
      <c r="P99" s="41">
        <f t="shared" si="30"/>
        <v>31.597633136094682</v>
      </c>
      <c r="Q99" s="41">
        <f t="shared" si="31"/>
        <v>31.597633136094682</v>
      </c>
    </row>
    <row r="100" spans="1:17" x14ac:dyDescent="0.25">
      <c r="A100" s="41">
        <f t="shared" si="24"/>
        <v>16</v>
      </c>
      <c r="B100" s="44">
        <f t="shared" si="25"/>
        <v>13.846153846153847</v>
      </c>
      <c r="C100" s="42">
        <f t="shared" si="26"/>
        <v>13.846153846153847</v>
      </c>
      <c r="D100" s="40"/>
      <c r="E100" s="42">
        <f>((('Device Parmaters'!$D$35)*COUTMAX)/(1000*'Design Calculator'!$F$69))+C100</f>
        <v>24.846153846153847</v>
      </c>
      <c r="F100" s="42">
        <f t="shared" si="27"/>
        <v>14.396153846153847</v>
      </c>
      <c r="G100" s="40">
        <f t="shared" si="32"/>
        <v>14.396153846153847</v>
      </c>
      <c r="H100" s="42">
        <f t="shared" si="28"/>
        <v>0.55000000000000071</v>
      </c>
      <c r="I100" s="43">
        <f t="shared" si="33"/>
        <v>2.7972027972028162E-5</v>
      </c>
      <c r="J100" s="50">
        <f t="shared" si="38"/>
        <v>2.5174825174825162E-3</v>
      </c>
      <c r="K100" s="150">
        <f t="shared" si="34"/>
        <v>2.5174825174825162</v>
      </c>
      <c r="L100" s="112">
        <f t="shared" si="35"/>
        <v>3.8204648677531435E-2</v>
      </c>
      <c r="M100" s="41">
        <f t="shared" si="29"/>
        <v>-14.230769230769234</v>
      </c>
      <c r="N100" s="41">
        <f t="shared" si="36"/>
        <v>8.6733148508297015E-4</v>
      </c>
      <c r="O100" s="41">
        <f t="shared" si="37"/>
        <v>31.007100591715972</v>
      </c>
      <c r="P100" s="41">
        <f t="shared" si="30"/>
        <v>29.822485207100584</v>
      </c>
      <c r="Q100" s="41">
        <f t="shared" si="31"/>
        <v>29.822485207100584</v>
      </c>
    </row>
    <row r="101" spans="1:17" x14ac:dyDescent="0.25">
      <c r="A101" s="41">
        <f t="shared" si="24"/>
        <v>16</v>
      </c>
      <c r="B101" s="44">
        <f t="shared" si="25"/>
        <v>14</v>
      </c>
      <c r="C101" s="42">
        <f t="shared" si="26"/>
        <v>14</v>
      </c>
      <c r="D101" s="40"/>
      <c r="E101" s="42">
        <f>((('Device Parmaters'!$D$35)*COUTMAX)/(1000*'Design Calculator'!$F$69))+C101</f>
        <v>25</v>
      </c>
      <c r="F101" s="42">
        <f t="shared" si="27"/>
        <v>14.55</v>
      </c>
      <c r="G101" s="40">
        <f t="shared" si="32"/>
        <v>14.55</v>
      </c>
      <c r="H101" s="42">
        <f t="shared" si="28"/>
        <v>0.55000000000000071</v>
      </c>
      <c r="I101" s="43">
        <f t="shared" si="33"/>
        <v>2.7972027972027837E-5</v>
      </c>
      <c r="J101" s="50">
        <f t="shared" si="38"/>
        <v>2.5454545454545439E-3</v>
      </c>
      <c r="K101" s="150">
        <f t="shared" si="34"/>
        <v>2.5454545454545441</v>
      </c>
      <c r="L101" s="112">
        <f t="shared" si="35"/>
        <v>3.7800687285223414E-2</v>
      </c>
      <c r="M101" s="41">
        <f t="shared" si="29"/>
        <v>-15</v>
      </c>
      <c r="N101" s="41">
        <f t="shared" si="36"/>
        <v>8.139860139860101E-4</v>
      </c>
      <c r="O101" s="41">
        <f t="shared" si="37"/>
        <v>29.1</v>
      </c>
      <c r="P101" s="41">
        <f t="shared" si="30"/>
        <v>28</v>
      </c>
      <c r="Q101" s="41">
        <f t="shared" si="31"/>
        <v>28</v>
      </c>
    </row>
    <row r="102" spans="1:17" x14ac:dyDescent="0.25">
      <c r="A102" s="41">
        <f t="shared" si="24"/>
        <v>16</v>
      </c>
      <c r="B102" s="44">
        <f t="shared" si="25"/>
        <v>14.153846153846153</v>
      </c>
      <c r="C102" s="42">
        <f t="shared" si="26"/>
        <v>14.153846153846153</v>
      </c>
      <c r="D102" s="40"/>
      <c r="E102" s="42">
        <f>((('Device Parmaters'!$D$35)*COUTMAX)/(1000*'Design Calculator'!$F$69))+C102</f>
        <v>25.153846153846153</v>
      </c>
      <c r="F102" s="42">
        <f t="shared" si="27"/>
        <v>14.703846153846154</v>
      </c>
      <c r="G102" s="40">
        <f t="shared" si="32"/>
        <v>14.703846153846154</v>
      </c>
      <c r="H102" s="42">
        <f t="shared" si="28"/>
        <v>0.55000000000000071</v>
      </c>
      <c r="I102" s="43">
        <f t="shared" si="33"/>
        <v>2.7972027972027837E-5</v>
      </c>
      <c r="J102" s="50">
        <f t="shared" si="38"/>
        <v>2.5734265734265716E-3</v>
      </c>
      <c r="K102" s="150">
        <f t="shared" si="34"/>
        <v>2.5734265734265716</v>
      </c>
      <c r="L102" s="112">
        <f t="shared" si="35"/>
        <v>3.7405179178655552E-2</v>
      </c>
      <c r="M102" s="41">
        <f t="shared" si="29"/>
        <v>-15.769230769230768</v>
      </c>
      <c r="N102" s="41">
        <f t="shared" si="36"/>
        <v>7.593164232217452E-4</v>
      </c>
      <c r="O102" s="41">
        <f t="shared" si="37"/>
        <v>27.145562130177524</v>
      </c>
      <c r="P102" s="41">
        <f t="shared" si="30"/>
        <v>26.130177514792905</v>
      </c>
      <c r="Q102" s="41">
        <f t="shared" si="31"/>
        <v>26.130177514792905</v>
      </c>
    </row>
    <row r="103" spans="1:17" x14ac:dyDescent="0.25">
      <c r="A103" s="41">
        <f t="shared" si="24"/>
        <v>16</v>
      </c>
      <c r="B103" s="44">
        <f t="shared" si="25"/>
        <v>14.307692307692308</v>
      </c>
      <c r="C103" s="42">
        <f t="shared" si="26"/>
        <v>14.307692307692308</v>
      </c>
      <c r="D103" s="40"/>
      <c r="E103" s="42">
        <f>((('Device Parmaters'!$D$35)*COUTMAX)/(1000*'Design Calculator'!$F$69))+C103</f>
        <v>25.307692307692307</v>
      </c>
      <c r="F103" s="42">
        <f t="shared" si="27"/>
        <v>14.857692307692309</v>
      </c>
      <c r="G103" s="40">
        <f t="shared" si="32"/>
        <v>14.857692307692309</v>
      </c>
      <c r="H103" s="42">
        <f t="shared" si="28"/>
        <v>0.55000000000000071</v>
      </c>
      <c r="I103" s="43">
        <f t="shared" si="33"/>
        <v>2.7972027972028162E-5</v>
      </c>
      <c r="J103" s="50">
        <f t="shared" si="38"/>
        <v>2.6013986013985997E-3</v>
      </c>
      <c r="K103" s="150">
        <f t="shared" si="34"/>
        <v>2.6013986013985999</v>
      </c>
      <c r="L103" s="112">
        <f t="shared" si="35"/>
        <v>3.70178617654673E-2</v>
      </c>
      <c r="M103" s="41">
        <f t="shared" si="29"/>
        <v>-16.538461538461551</v>
      </c>
      <c r="N103" s="41">
        <f t="shared" si="36"/>
        <v>7.0332271279017295E-4</v>
      </c>
      <c r="O103" s="41">
        <f t="shared" si="37"/>
        <v>25.143786982248514</v>
      </c>
      <c r="P103" s="41">
        <f t="shared" si="30"/>
        <v>24.213017751479281</v>
      </c>
      <c r="Q103" s="41">
        <f t="shared" si="31"/>
        <v>24.213017751479281</v>
      </c>
    </row>
    <row r="104" spans="1:17" x14ac:dyDescent="0.25">
      <c r="A104" s="41">
        <f t="shared" si="24"/>
        <v>16</v>
      </c>
      <c r="B104" s="44">
        <f t="shared" si="25"/>
        <v>14.461538461538462</v>
      </c>
      <c r="C104" s="42">
        <f t="shared" si="26"/>
        <v>14.461538461538462</v>
      </c>
      <c r="D104" s="40"/>
      <c r="E104" s="42">
        <f>((('Device Parmaters'!$D$35)*COUTMAX)/(1000*'Design Calculator'!$F$69))+C104</f>
        <v>25.46153846153846</v>
      </c>
      <c r="F104" s="42">
        <f t="shared" si="27"/>
        <v>15.011538461538462</v>
      </c>
      <c r="G104" s="40">
        <f t="shared" si="32"/>
        <v>15.011538461538462</v>
      </c>
      <c r="H104" s="42">
        <f t="shared" si="28"/>
        <v>0.55000000000000071</v>
      </c>
      <c r="I104" s="43">
        <f t="shared" si="33"/>
        <v>2.7972027972027837E-5</v>
      </c>
      <c r="J104" s="50">
        <f t="shared" si="38"/>
        <v>2.6293706293706275E-3</v>
      </c>
      <c r="K104" s="150">
        <f t="shared" si="34"/>
        <v>2.6293706293706274</v>
      </c>
      <c r="L104" s="112">
        <f t="shared" si="35"/>
        <v>3.6638483218037456E-2</v>
      </c>
      <c r="M104" s="41">
        <f t="shared" si="29"/>
        <v>-17.307692307692321</v>
      </c>
      <c r="N104" s="41">
        <f t="shared" si="36"/>
        <v>6.4600488269127006E-4</v>
      </c>
      <c r="O104" s="41">
        <f t="shared" si="37"/>
        <v>23.094674556213018</v>
      </c>
      <c r="P104" s="41">
        <f t="shared" si="30"/>
        <v>22.248520710059172</v>
      </c>
      <c r="Q104" s="41">
        <f t="shared" si="31"/>
        <v>22.248520710059172</v>
      </c>
    </row>
    <row r="105" spans="1:17" x14ac:dyDescent="0.25">
      <c r="A105" s="41">
        <f t="shared" si="24"/>
        <v>16</v>
      </c>
      <c r="B105" s="44">
        <f t="shared" si="25"/>
        <v>14.615384615384615</v>
      </c>
      <c r="C105" s="42">
        <f t="shared" si="26"/>
        <v>14.615384615384615</v>
      </c>
      <c r="D105" s="40"/>
      <c r="E105" s="42">
        <f>((('Device Parmaters'!$D$35)*COUTMAX)/(1000*'Design Calculator'!$F$69))+C105</f>
        <v>25.615384615384613</v>
      </c>
      <c r="F105" s="42">
        <f t="shared" si="27"/>
        <v>15.165384615384616</v>
      </c>
      <c r="G105" s="40">
        <f t="shared" si="32"/>
        <v>15.165384615384616</v>
      </c>
      <c r="H105" s="42">
        <f t="shared" si="28"/>
        <v>0.55000000000000071</v>
      </c>
      <c r="I105" s="43">
        <f t="shared" si="33"/>
        <v>2.7972027972027837E-5</v>
      </c>
      <c r="J105" s="50">
        <f t="shared" si="38"/>
        <v>2.6573426573426552E-3</v>
      </c>
      <c r="K105" s="150">
        <f t="shared" si="34"/>
        <v>2.6573426573426553</v>
      </c>
      <c r="L105" s="112">
        <f t="shared" si="35"/>
        <v>3.6266801927466445E-2</v>
      </c>
      <c r="M105" s="41">
        <f t="shared" si="29"/>
        <v>-18.076923076923084</v>
      </c>
      <c r="N105" s="41">
        <f t="shared" si="36"/>
        <v>5.8736293292506046E-4</v>
      </c>
      <c r="O105" s="41">
        <f t="shared" si="37"/>
        <v>20.998224852071012</v>
      </c>
      <c r="P105" s="41">
        <f t="shared" si="30"/>
        <v>20.236686390532551</v>
      </c>
      <c r="Q105" s="41">
        <f t="shared" si="31"/>
        <v>20.236686390532551</v>
      </c>
    </row>
    <row r="106" spans="1:17" x14ac:dyDescent="0.25">
      <c r="A106" s="41">
        <f t="shared" ref="A106:A114" si="39">VINMAX</f>
        <v>16</v>
      </c>
      <c r="B106" s="44">
        <f t="shared" ref="B106:B114" si="40">VINMAX*((ROW()-10)/104)</f>
        <v>14.76923076923077</v>
      </c>
      <c r="C106" s="42">
        <f t="shared" ref="C106:C114" si="41">IF(B106&gt;=$H$2,IF($D$2="CC", $G$2, B106/$G$2), 0)</f>
        <v>14.76923076923077</v>
      </c>
      <c r="D106" s="40"/>
      <c r="E106" s="42">
        <f>((('Device Parmaters'!$D$35)*COUTMAX)/(1000*'Design Calculator'!$F$69))+C106</f>
        <v>25.76923076923077</v>
      </c>
      <c r="F106" s="42">
        <f t="shared" ref="F106:F114" si="42">I_Cout_ss+C106</f>
        <v>15.319230769230771</v>
      </c>
      <c r="G106" s="40">
        <f t="shared" si="32"/>
        <v>15.319230769230771</v>
      </c>
      <c r="H106" s="42">
        <f t="shared" ref="H106:H114" si="43">G106-C106</f>
        <v>0.55000000000000071</v>
      </c>
      <c r="I106" s="43">
        <f t="shared" si="33"/>
        <v>2.7972027972028162E-5</v>
      </c>
      <c r="J106" s="50">
        <f t="shared" si="38"/>
        <v>2.6853146853146833E-3</v>
      </c>
      <c r="K106" s="150">
        <f t="shared" si="34"/>
        <v>2.6853146853146832</v>
      </c>
      <c r="L106" s="112">
        <f t="shared" si="35"/>
        <v>3.5902585990459493E-2</v>
      </c>
      <c r="M106" s="41">
        <f t="shared" ref="M106:M114" si="44">1/COUTMAX*(E106/2-C106)*1000</f>
        <v>-18.84615384615385</v>
      </c>
      <c r="N106" s="41">
        <f t="shared" si="36"/>
        <v>5.2739686349154136E-4</v>
      </c>
      <c r="O106" s="41">
        <f t="shared" si="37"/>
        <v>18.854437869822476</v>
      </c>
      <c r="P106" s="41">
        <f t="shared" ref="P106:P114" si="45">(A106-B106)*(I_Cout_ss*$Q$2+C106)</f>
        <v>18.177514792899398</v>
      </c>
      <c r="Q106" s="41">
        <f t="shared" ref="Q106:Q114" si="46">(A106-B106)*(I_Cout_ss*$R$2+C106)</f>
        <v>18.177514792899398</v>
      </c>
    </row>
    <row r="107" spans="1:17" x14ac:dyDescent="0.25">
      <c r="A107" s="41">
        <f t="shared" si="39"/>
        <v>16</v>
      </c>
      <c r="B107" s="44">
        <f t="shared" si="40"/>
        <v>14.923076923076923</v>
      </c>
      <c r="C107" s="42">
        <f t="shared" si="41"/>
        <v>14.923076923076923</v>
      </c>
      <c r="D107" s="40"/>
      <c r="E107" s="42">
        <f>((('Device Parmaters'!$D$35)*COUTMAX)/(1000*'Design Calculator'!$F$69))+C107</f>
        <v>25.923076923076923</v>
      </c>
      <c r="F107" s="42">
        <f t="shared" si="42"/>
        <v>15.473076923076924</v>
      </c>
      <c r="G107" s="40">
        <f t="shared" si="32"/>
        <v>15.473076923076924</v>
      </c>
      <c r="H107" s="42">
        <f t="shared" si="43"/>
        <v>0.55000000000000071</v>
      </c>
      <c r="I107" s="43">
        <f t="shared" ref="I107:I114" si="47">(COUTMAX/1000000)*(B107-B106)/H107</f>
        <v>2.7972027972027837E-5</v>
      </c>
      <c r="J107" s="50">
        <f t="shared" si="38"/>
        <v>2.713286713286711E-3</v>
      </c>
      <c r="K107" s="150">
        <f t="shared" si="34"/>
        <v>2.7132867132867111</v>
      </c>
      <c r="L107" s="112">
        <f t="shared" si="35"/>
        <v>3.5545612726820823E-2</v>
      </c>
      <c r="M107" s="41">
        <f t="shared" si="44"/>
        <v>-19.615384615384617</v>
      </c>
      <c r="N107" s="41">
        <f t="shared" si="36"/>
        <v>4.6610667439069573E-4</v>
      </c>
      <c r="O107" s="41">
        <f t="shared" si="37"/>
        <v>16.663313609467451</v>
      </c>
      <c r="P107" s="41">
        <f t="shared" si="45"/>
        <v>16.071005917159759</v>
      </c>
      <c r="Q107" s="41">
        <f t="shared" si="46"/>
        <v>16.071005917159759</v>
      </c>
    </row>
    <row r="108" spans="1:17" x14ac:dyDescent="0.25">
      <c r="A108" s="41">
        <f t="shared" si="39"/>
        <v>16</v>
      </c>
      <c r="B108" s="44">
        <f t="shared" si="40"/>
        <v>15.076923076923077</v>
      </c>
      <c r="C108" s="42">
        <f t="shared" si="41"/>
        <v>15.076923076923077</v>
      </c>
      <c r="D108" s="40"/>
      <c r="E108" s="42">
        <f>((('Device Parmaters'!$D$35)*COUTMAX)/(1000*'Design Calculator'!$F$69))+C108</f>
        <v>26.076923076923077</v>
      </c>
      <c r="F108" s="42">
        <f t="shared" si="42"/>
        <v>15.626923076923077</v>
      </c>
      <c r="G108" s="40">
        <f t="shared" si="32"/>
        <v>15.626923076923077</v>
      </c>
      <c r="H108" s="42">
        <f t="shared" si="43"/>
        <v>0.55000000000000071</v>
      </c>
      <c r="I108" s="43">
        <f t="shared" si="47"/>
        <v>2.7972027972027837E-5</v>
      </c>
      <c r="J108" s="50">
        <f t="shared" si="38"/>
        <v>2.7412587412587387E-3</v>
      </c>
      <c r="K108" s="150">
        <f t="shared" si="34"/>
        <v>2.7412587412587386</v>
      </c>
      <c r="L108" s="112">
        <f t="shared" si="35"/>
        <v>3.5195668225449221E-2</v>
      </c>
      <c r="M108" s="41">
        <f t="shared" si="44"/>
        <v>-20.384615384615383</v>
      </c>
      <c r="N108" s="41">
        <f t="shared" si="36"/>
        <v>4.0349236562254134E-4</v>
      </c>
      <c r="O108" s="41">
        <f t="shared" si="37"/>
        <v>14.424852071005922</v>
      </c>
      <c r="P108" s="41">
        <f t="shared" si="45"/>
        <v>13.917159763313613</v>
      </c>
      <c r="Q108" s="41">
        <f t="shared" si="46"/>
        <v>13.917159763313613</v>
      </c>
    </row>
    <row r="109" spans="1:17" x14ac:dyDescent="0.25">
      <c r="A109" s="41">
        <f t="shared" si="39"/>
        <v>16</v>
      </c>
      <c r="B109" s="44">
        <f t="shared" si="40"/>
        <v>15.23076923076923</v>
      </c>
      <c r="C109" s="42">
        <f t="shared" si="41"/>
        <v>15.23076923076923</v>
      </c>
      <c r="D109" s="40"/>
      <c r="E109" s="42">
        <f>((('Device Parmaters'!$D$35)*COUTMAX)/(1000*'Design Calculator'!$F$69))+C109</f>
        <v>26.23076923076923</v>
      </c>
      <c r="F109" s="42">
        <f t="shared" si="42"/>
        <v>15.780769230769231</v>
      </c>
      <c r="G109" s="40">
        <f t="shared" si="32"/>
        <v>15.780769230769231</v>
      </c>
      <c r="H109" s="42">
        <f t="shared" si="43"/>
        <v>0.55000000000000071</v>
      </c>
      <c r="I109" s="43">
        <f t="shared" si="47"/>
        <v>2.7972027972027837E-5</v>
      </c>
      <c r="J109" s="50">
        <f t="shared" si="38"/>
        <v>2.7692307692307665E-3</v>
      </c>
      <c r="K109" s="150">
        <f t="shared" si="34"/>
        <v>2.7692307692307665</v>
      </c>
      <c r="L109" s="112">
        <f t="shared" si="35"/>
        <v>3.4852546916890124E-2</v>
      </c>
      <c r="M109" s="41">
        <f t="shared" si="44"/>
        <v>-21.153846153846153</v>
      </c>
      <c r="N109" s="41">
        <f t="shared" si="36"/>
        <v>3.3955393718707201E-4</v>
      </c>
      <c r="O109" s="41">
        <f t="shared" si="37"/>
        <v>12.139053254437883</v>
      </c>
      <c r="P109" s="41">
        <f t="shared" si="45"/>
        <v>11.715976331360958</v>
      </c>
      <c r="Q109" s="41">
        <f t="shared" si="46"/>
        <v>11.715976331360958</v>
      </c>
    </row>
    <row r="110" spans="1:17" x14ac:dyDescent="0.25">
      <c r="A110" s="41">
        <f t="shared" si="39"/>
        <v>16</v>
      </c>
      <c r="B110" s="44">
        <f t="shared" si="40"/>
        <v>15.384615384615385</v>
      </c>
      <c r="C110" s="42">
        <f t="shared" si="41"/>
        <v>15.384615384615385</v>
      </c>
      <c r="D110" s="40"/>
      <c r="E110" s="42">
        <f>((('Device Parmaters'!$D$35)*COUTMAX)/(1000*'Design Calculator'!$F$69))+C110</f>
        <v>26.384615384615387</v>
      </c>
      <c r="F110" s="42">
        <f t="shared" si="42"/>
        <v>15.934615384615386</v>
      </c>
      <c r="G110" s="40">
        <f t="shared" si="32"/>
        <v>15.934615384615386</v>
      </c>
      <c r="H110" s="42">
        <f t="shared" si="43"/>
        <v>0.55000000000000071</v>
      </c>
      <c r="I110" s="43">
        <f t="shared" si="47"/>
        <v>2.7972027972028162E-5</v>
      </c>
      <c r="J110" s="50">
        <f t="shared" si="38"/>
        <v>2.7972027972027946E-3</v>
      </c>
      <c r="K110" s="150">
        <f t="shared" si="34"/>
        <v>2.7972027972027944</v>
      </c>
      <c r="L110" s="112">
        <f t="shared" si="35"/>
        <v>3.4516051170649327E-2</v>
      </c>
      <c r="M110" s="41">
        <f t="shared" si="44"/>
        <v>-21.923076923076916</v>
      </c>
      <c r="N110" s="41">
        <f t="shared" si="36"/>
        <v>2.742913890842902E-4</v>
      </c>
      <c r="O110" s="41">
        <f t="shared" si="37"/>
        <v>9.8059171597633075</v>
      </c>
      <c r="P110" s="41">
        <f t="shared" si="45"/>
        <v>9.4674556213017684</v>
      </c>
      <c r="Q110" s="41">
        <f t="shared" si="46"/>
        <v>9.4674556213017684</v>
      </c>
    </row>
    <row r="111" spans="1:17" x14ac:dyDescent="0.25">
      <c r="A111" s="41">
        <f t="shared" si="39"/>
        <v>16</v>
      </c>
      <c r="B111" s="44">
        <f t="shared" si="40"/>
        <v>15.538461538461538</v>
      </c>
      <c r="C111" s="42">
        <f t="shared" si="41"/>
        <v>15.538461538461538</v>
      </c>
      <c r="D111" s="40"/>
      <c r="E111" s="42">
        <f>((('Device Parmaters'!$D$35)*COUTMAX)/(1000*'Design Calculator'!$F$69))+C111</f>
        <v>26.53846153846154</v>
      </c>
      <c r="F111" s="42">
        <f t="shared" si="42"/>
        <v>16.088461538461537</v>
      </c>
      <c r="G111" s="40">
        <f>IF($F$2="YES", F111, E111)</f>
        <v>16.088461538461537</v>
      </c>
      <c r="H111" s="42">
        <f t="shared" si="43"/>
        <v>0.54999999999999893</v>
      </c>
      <c r="I111" s="43">
        <f t="shared" si="47"/>
        <v>2.7972027972027925E-5</v>
      </c>
      <c r="J111" s="50">
        <f>J110+I111</f>
        <v>2.8251748251748223E-3</v>
      </c>
      <c r="K111" s="150">
        <f t="shared" si="34"/>
        <v>2.8251748251748223</v>
      </c>
      <c r="L111" s="112">
        <f>H111/G111</f>
        <v>3.4185990915610739E-2</v>
      </c>
      <c r="M111" s="41">
        <f t="shared" si="44"/>
        <v>-22.692307692307683</v>
      </c>
      <c r="N111" s="41">
        <f>I111*G111*(A111-B111)</f>
        <v>2.0770472131418846E-4</v>
      </c>
      <c r="O111" s="41">
        <f t="shared" si="37"/>
        <v>7.4254437869822505</v>
      </c>
      <c r="P111" s="41">
        <f t="shared" si="45"/>
        <v>7.1715976331360967</v>
      </c>
      <c r="Q111" s="41">
        <f t="shared" si="46"/>
        <v>7.1715976331360967</v>
      </c>
    </row>
    <row r="112" spans="1:17" x14ac:dyDescent="0.25">
      <c r="A112" s="41">
        <f t="shared" si="39"/>
        <v>16</v>
      </c>
      <c r="B112" s="44">
        <f t="shared" si="40"/>
        <v>15.692307692307692</v>
      </c>
      <c r="C112" s="42">
        <f t="shared" si="41"/>
        <v>15.692307692307692</v>
      </c>
      <c r="D112" s="40"/>
      <c r="E112" s="42">
        <f>((('Device Parmaters'!$D$35)*COUTMAX)/(1000*'Design Calculator'!$F$69))+C112</f>
        <v>26.692307692307693</v>
      </c>
      <c r="F112" s="42">
        <f t="shared" si="42"/>
        <v>16.242307692307691</v>
      </c>
      <c r="G112" s="40">
        <f>IF($F$2="YES", F112, E112)</f>
        <v>16.242307692307691</v>
      </c>
      <c r="H112" s="42">
        <f t="shared" si="43"/>
        <v>0.54999999999999893</v>
      </c>
      <c r="I112" s="43">
        <f t="shared" si="47"/>
        <v>2.7972027972027925E-5</v>
      </c>
      <c r="J112" s="50">
        <f>J111+I112</f>
        <v>2.85314685314685E-3</v>
      </c>
      <c r="K112" s="150">
        <f t="shared" si="34"/>
        <v>2.8531468531468502</v>
      </c>
      <c r="L112" s="112">
        <f>H112/G112</f>
        <v>3.3862183282026934E-2</v>
      </c>
      <c r="M112" s="41">
        <f t="shared" si="44"/>
        <v>-23.461538461538449</v>
      </c>
      <c r="N112" s="41">
        <f>I112*G112*(A112-B112)</f>
        <v>1.3979393387677418E-4</v>
      </c>
      <c r="O112" s="41">
        <f t="shared" si="37"/>
        <v>4.9976331360946853</v>
      </c>
      <c r="P112" s="41">
        <f t="shared" si="45"/>
        <v>4.8284023668639158</v>
      </c>
      <c r="Q112" s="41">
        <f t="shared" si="46"/>
        <v>4.8284023668639158</v>
      </c>
    </row>
    <row r="113" spans="1:17" x14ac:dyDescent="0.25">
      <c r="A113" s="41">
        <f t="shared" si="39"/>
        <v>16</v>
      </c>
      <c r="B113" s="44">
        <f t="shared" si="40"/>
        <v>15.846153846153847</v>
      </c>
      <c r="C113" s="42">
        <f t="shared" si="41"/>
        <v>15.846153846153847</v>
      </c>
      <c r="D113" s="40"/>
      <c r="E113" s="42">
        <f>((('Device Parmaters'!$D$35)*COUTMAX)/(1000*'Design Calculator'!$F$69))+C113</f>
        <v>26.846153846153847</v>
      </c>
      <c r="F113" s="42">
        <f t="shared" si="42"/>
        <v>16.396153846153847</v>
      </c>
      <c r="G113" s="40">
        <f>IF($F$2="YES", F113, E113)</f>
        <v>16.396153846153847</v>
      </c>
      <c r="H113" s="42">
        <f t="shared" si="43"/>
        <v>0.55000000000000071</v>
      </c>
      <c r="I113" s="43">
        <f t="shared" si="47"/>
        <v>2.7972027972028162E-5</v>
      </c>
      <c r="J113" s="50">
        <f>J112+I113</f>
        <v>2.8811188811188782E-3</v>
      </c>
      <c r="K113" s="150">
        <f t="shared" si="34"/>
        <v>2.8811188811188782</v>
      </c>
      <c r="L113" s="112">
        <f>H113/G113</f>
        <v>3.3544452263664128E-2</v>
      </c>
      <c r="M113" s="41">
        <f t="shared" si="44"/>
        <v>-24.230769230769234</v>
      </c>
      <c r="N113" s="41">
        <f>I113*G113*(A113-B113)</f>
        <v>7.0559026772044759E-5</v>
      </c>
      <c r="O113" s="41">
        <f t="shared" si="37"/>
        <v>2.522485207100583</v>
      </c>
      <c r="P113" s="41">
        <f t="shared" si="45"/>
        <v>2.4378698224851987</v>
      </c>
      <c r="Q113" s="41">
        <f t="shared" si="46"/>
        <v>2.4378698224851987</v>
      </c>
    </row>
    <row r="114" spans="1:17" x14ac:dyDescent="0.25">
      <c r="A114" s="41">
        <f t="shared" si="39"/>
        <v>16</v>
      </c>
      <c r="B114" s="44">
        <f t="shared" si="40"/>
        <v>16</v>
      </c>
      <c r="C114" s="42">
        <f t="shared" si="41"/>
        <v>16</v>
      </c>
      <c r="D114" s="40"/>
      <c r="E114" s="42">
        <f>((('Device Parmaters'!$D$35)*COUTMAX)/(1000*'Design Calculator'!$F$69))+C114</f>
        <v>27</v>
      </c>
      <c r="F114" s="42">
        <f t="shared" si="42"/>
        <v>16.55</v>
      </c>
      <c r="G114" s="40">
        <f>IF($F$2="YES", F114, E114)</f>
        <v>16.55</v>
      </c>
      <c r="H114" s="42">
        <f t="shared" si="43"/>
        <v>0.55000000000000071</v>
      </c>
      <c r="I114" s="43">
        <f t="shared" si="47"/>
        <v>2.7972027972027837E-5</v>
      </c>
      <c r="J114" s="50">
        <f>J113+I114</f>
        <v>2.9090909090909059E-3</v>
      </c>
      <c r="K114" s="150">
        <f t="shared" si="34"/>
        <v>2.9090909090909061</v>
      </c>
      <c r="L114" s="112">
        <f>H114/G114</f>
        <v>3.3232628398791583E-2</v>
      </c>
      <c r="M114" s="41">
        <f t="shared" si="44"/>
        <v>-25</v>
      </c>
      <c r="N114" s="41">
        <f>I114*G114*(A114-B114)</f>
        <v>0</v>
      </c>
      <c r="O114" s="41">
        <f t="shared" si="37"/>
        <v>0</v>
      </c>
      <c r="P114" s="41">
        <f t="shared" si="45"/>
        <v>0</v>
      </c>
      <c r="Q114" s="41">
        <f t="shared" si="46"/>
        <v>0</v>
      </c>
    </row>
    <row r="115" spans="1:17" x14ac:dyDescent="0.25">
      <c r="K115" s="151">
        <f>K114+0.5</f>
        <v>3.4090909090909061</v>
      </c>
      <c r="N115" s="41">
        <v>0</v>
      </c>
      <c r="O115" s="41">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zoomScale="85" zoomScaleNormal="85" workbookViewId="0">
      <selection activeCell="H28" sqref="H28"/>
    </sheetView>
  </sheetViews>
  <sheetFormatPr defaultRowHeight="13.2" x14ac:dyDescent="0.25"/>
  <cols>
    <col min="1" max="1" width="19.6640625" customWidth="1"/>
    <col min="2" max="2" width="17.33203125" customWidth="1"/>
    <col min="3" max="3" width="13.33203125" customWidth="1"/>
    <col min="4" max="4" width="16" customWidth="1"/>
    <col min="5" max="6" width="17.6640625" customWidth="1"/>
    <col min="7" max="7" width="31.5546875" customWidth="1"/>
    <col min="8" max="8" width="20" customWidth="1"/>
    <col min="13" max="13" width="12.6640625" customWidth="1"/>
    <col min="15" max="15" width="17.33203125" customWidth="1"/>
    <col min="17" max="17" width="13.33203125" customWidth="1"/>
    <col min="18" max="18" width="16.6640625" customWidth="1"/>
    <col min="20" max="20" width="13" customWidth="1"/>
    <col min="21" max="21" width="10.33203125" customWidth="1"/>
  </cols>
  <sheetData>
    <row r="1" spans="1:22" x14ac:dyDescent="0.25">
      <c r="A1" s="191"/>
      <c r="B1" s="191"/>
      <c r="C1" s="193"/>
      <c r="D1" s="193"/>
      <c r="E1" s="193"/>
      <c r="F1" s="193"/>
      <c r="G1" s="193"/>
      <c r="H1" s="191"/>
      <c r="I1" s="191"/>
      <c r="J1" s="191"/>
      <c r="K1" s="191"/>
      <c r="L1" s="191"/>
      <c r="M1" s="191"/>
      <c r="N1" s="191"/>
      <c r="O1" s="191"/>
      <c r="P1" s="191"/>
      <c r="Q1" s="191"/>
      <c r="R1" s="191"/>
      <c r="S1" s="191"/>
      <c r="T1" s="191"/>
      <c r="U1" s="191"/>
      <c r="V1" s="191"/>
    </row>
    <row r="2" spans="1:22" x14ac:dyDescent="0.25">
      <c r="A2" s="198"/>
      <c r="B2" s="213"/>
      <c r="C2" s="326" t="s">
        <v>136</v>
      </c>
      <c r="D2" s="327"/>
      <c r="E2" s="327"/>
      <c r="F2" s="201"/>
      <c r="G2" s="201"/>
      <c r="H2" s="195" t="s">
        <v>157</v>
      </c>
      <c r="I2" s="193"/>
      <c r="J2" s="193"/>
      <c r="K2" s="193"/>
      <c r="L2" s="193"/>
      <c r="M2" s="193"/>
      <c r="N2" s="193"/>
      <c r="O2" s="199"/>
      <c r="P2" s="199"/>
      <c r="Q2" s="199"/>
      <c r="R2" s="199"/>
      <c r="S2" s="199"/>
      <c r="T2" s="199"/>
      <c r="U2" s="193"/>
      <c r="V2" s="193"/>
    </row>
    <row r="3" spans="1:22" x14ac:dyDescent="0.25">
      <c r="A3" s="198"/>
      <c r="B3" s="200" t="s">
        <v>173</v>
      </c>
      <c r="C3" s="200" t="s">
        <v>137</v>
      </c>
      <c r="D3" s="200" t="s">
        <v>138</v>
      </c>
      <c r="E3" s="200" t="s">
        <v>139</v>
      </c>
      <c r="F3" s="214" t="s">
        <v>296</v>
      </c>
      <c r="G3" s="204"/>
      <c r="H3" s="195" t="s">
        <v>155</v>
      </c>
      <c r="I3" s="201"/>
      <c r="J3" s="201"/>
      <c r="K3" s="201"/>
      <c r="L3" s="201"/>
      <c r="M3" s="201"/>
      <c r="N3" s="193"/>
      <c r="O3" s="201"/>
      <c r="P3" s="201"/>
      <c r="Q3" s="202"/>
      <c r="R3" s="202"/>
      <c r="S3" s="202"/>
      <c r="T3" s="202"/>
      <c r="U3" s="193"/>
      <c r="V3" s="193"/>
    </row>
    <row r="4" spans="1:22" ht="21.6" customHeight="1" x14ac:dyDescent="0.25">
      <c r="A4" s="200" t="s">
        <v>140</v>
      </c>
      <c r="B4" s="198">
        <f>'Design Calculator'!AN52</f>
        <v>160</v>
      </c>
      <c r="C4" s="203">
        <f>'Design Calculator'!$AN$53</f>
        <v>21</v>
      </c>
      <c r="D4" s="203">
        <f>'Design Calculator'!$AN$54</f>
        <v>9</v>
      </c>
      <c r="E4" s="203">
        <f>IF('Design Calculator'!$AN$55 = "NA", F4, 'Design Calculator'!$AN$55)</f>
        <v>5</v>
      </c>
      <c r="F4" s="203">
        <f>'Design Calculator'!AN56</f>
        <v>2.8</v>
      </c>
      <c r="G4" s="207"/>
      <c r="H4" s="195" t="s">
        <v>156</v>
      </c>
      <c r="I4" s="201"/>
      <c r="J4" s="201"/>
      <c r="K4" s="201"/>
      <c r="L4" s="202"/>
      <c r="M4" s="202"/>
      <c r="N4" s="193"/>
      <c r="O4" s="201"/>
      <c r="P4" s="201"/>
      <c r="Q4" s="202"/>
      <c r="R4" s="202"/>
      <c r="S4" s="202"/>
      <c r="T4" s="202"/>
      <c r="U4" s="193"/>
      <c r="V4" s="193"/>
    </row>
    <row r="5" spans="1:22" x14ac:dyDescent="0.25">
      <c r="A5" s="193"/>
      <c r="B5" s="191"/>
      <c r="C5" s="201"/>
      <c r="D5" s="202"/>
      <c r="E5" s="202"/>
      <c r="F5" s="202"/>
      <c r="G5" s="202"/>
      <c r="H5" s="193"/>
      <c r="I5" s="201"/>
      <c r="J5" s="201"/>
      <c r="K5" s="201"/>
      <c r="L5" s="202"/>
      <c r="M5" s="202"/>
      <c r="N5" s="328"/>
      <c r="O5" s="328"/>
      <c r="P5" s="328"/>
      <c r="Q5" s="202"/>
      <c r="R5" s="329"/>
      <c r="S5" s="330"/>
      <c r="T5" s="330"/>
      <c r="U5" s="193"/>
      <c r="V5" s="193"/>
    </row>
    <row r="6" spans="1:22" x14ac:dyDescent="0.25">
      <c r="A6" s="193"/>
      <c r="B6" s="191"/>
      <c r="C6" s="201"/>
      <c r="D6" s="202"/>
      <c r="E6" s="202"/>
      <c r="F6" s="202"/>
      <c r="G6" s="202"/>
      <c r="H6" s="193"/>
      <c r="I6" s="201"/>
      <c r="J6" s="201"/>
      <c r="K6" s="201"/>
      <c r="L6" s="202"/>
      <c r="M6" s="202"/>
      <c r="N6" s="193"/>
      <c r="O6" s="204"/>
      <c r="P6" s="193"/>
      <c r="Q6" s="193"/>
      <c r="R6" s="193"/>
      <c r="S6" s="193"/>
      <c r="T6" s="193"/>
      <c r="U6" s="193"/>
      <c r="V6" s="193"/>
    </row>
    <row r="7" spans="1:22" ht="14.4" x14ac:dyDescent="0.3">
      <c r="A7" s="193"/>
      <c r="B7" s="205" t="s">
        <v>293</v>
      </c>
      <c r="C7" s="191"/>
      <c r="D7" s="191"/>
      <c r="E7" s="191"/>
      <c r="F7" s="191"/>
      <c r="G7" s="212" t="s">
        <v>282</v>
      </c>
      <c r="H7" s="193"/>
      <c r="I7" s="191"/>
      <c r="J7" s="211"/>
      <c r="K7" s="202"/>
      <c r="L7" s="193"/>
      <c r="M7" s="193"/>
      <c r="N7" s="204"/>
      <c r="O7" s="204"/>
      <c r="P7" s="204"/>
      <c r="Q7" s="193"/>
      <c r="R7" s="193"/>
      <c r="S7" s="193"/>
      <c r="T7" s="206"/>
      <c r="U7" s="201"/>
      <c r="V7" s="193"/>
    </row>
    <row r="8" spans="1:22" ht="14.4" x14ac:dyDescent="0.3">
      <c r="A8" s="193"/>
      <c r="B8" s="195" t="s">
        <v>141</v>
      </c>
      <c r="C8" s="191" t="e">
        <f>IF('Design Calculator'!F68="No", 'Design Calculator'!#REF!,'Design Calculator'!#REF!)</f>
        <v>#REF!</v>
      </c>
      <c r="D8" s="195" t="s">
        <v>8</v>
      </c>
      <c r="E8" s="191"/>
      <c r="F8" s="191"/>
      <c r="G8" s="195" t="s">
        <v>141</v>
      </c>
      <c r="H8" s="191">
        <f>Equations!F78</f>
        <v>1.4364079431741579</v>
      </c>
      <c r="I8" s="195" t="s">
        <v>8</v>
      </c>
      <c r="J8" s="210"/>
      <c r="K8" s="202"/>
      <c r="L8" s="193"/>
      <c r="M8" s="193"/>
      <c r="N8" s="204"/>
      <c r="O8" s="193"/>
      <c r="P8" s="206"/>
      <c r="Q8" s="193"/>
      <c r="R8" s="193"/>
      <c r="S8" s="193"/>
      <c r="T8" s="206"/>
      <c r="U8" s="201"/>
      <c r="V8" s="193"/>
    </row>
    <row r="9" spans="1:22" ht="14.4" x14ac:dyDescent="0.3">
      <c r="A9" s="193"/>
      <c r="B9" s="195" t="s">
        <v>142</v>
      </c>
      <c r="C9" s="191">
        <f>VINMAX</f>
        <v>16</v>
      </c>
      <c r="D9" s="191" t="s">
        <v>68</v>
      </c>
      <c r="E9" s="191"/>
      <c r="F9" s="191"/>
      <c r="G9" s="195" t="s">
        <v>142</v>
      </c>
      <c r="H9" s="191">
        <f>VINMAX</f>
        <v>16</v>
      </c>
      <c r="I9" s="191" t="s">
        <v>68</v>
      </c>
      <c r="J9" s="191"/>
      <c r="K9" s="202"/>
      <c r="L9" s="193"/>
      <c r="M9" s="193"/>
      <c r="N9" s="204"/>
      <c r="O9" s="193"/>
      <c r="P9" s="206"/>
      <c r="Q9" s="193"/>
      <c r="R9" s="193"/>
      <c r="S9" s="193"/>
      <c r="T9" s="206"/>
      <c r="U9" s="193"/>
      <c r="V9" s="193"/>
    </row>
    <row r="10" spans="1:22" ht="14.4" x14ac:dyDescent="0.3">
      <c r="A10" s="193"/>
      <c r="B10" s="195" t="s">
        <v>143</v>
      </c>
      <c r="C10" s="191" t="e">
        <f>IF(C8&lt;10, IF(C8&lt;1, 0.1, 1), IF(C8&lt;100, 10, 100))</f>
        <v>#REF!</v>
      </c>
      <c r="D10" s="195" t="s">
        <v>8</v>
      </c>
      <c r="E10" s="191"/>
      <c r="F10" s="191"/>
      <c r="G10" s="195" t="s">
        <v>143</v>
      </c>
      <c r="H10" s="191">
        <f>IF(H8&lt;10, IF(H8&lt;1, 0.1, 1), IF(H8&lt;100, 10, 100))</f>
        <v>1</v>
      </c>
      <c r="I10" s="195" t="s">
        <v>8</v>
      </c>
      <c r="J10" s="191"/>
      <c r="K10" s="202"/>
      <c r="L10" s="193"/>
      <c r="M10" s="193"/>
      <c r="N10" s="204"/>
      <c r="O10" s="193"/>
      <c r="P10" s="206"/>
      <c r="Q10" s="193"/>
      <c r="R10" s="193"/>
      <c r="S10" s="193"/>
      <c r="T10" s="206"/>
      <c r="U10" s="193"/>
      <c r="V10" s="193"/>
    </row>
    <row r="11" spans="1:22" ht="14.4" x14ac:dyDescent="0.3">
      <c r="A11" s="193"/>
      <c r="B11" s="195" t="s">
        <v>367</v>
      </c>
      <c r="C11" s="191" t="e">
        <f>IF('Design Calculator'!F55="NA", MIN(SOA!C10,1),SOA!C10)</f>
        <v>#REF!</v>
      </c>
      <c r="D11" s="195"/>
      <c r="E11" s="191"/>
      <c r="F11" s="191"/>
      <c r="G11" s="195" t="s">
        <v>367</v>
      </c>
      <c r="H11" s="191">
        <f>IF('Design Calculator'!F55="NA", MIN(SOA!H10,1),SOA!H10)</f>
        <v>1</v>
      </c>
      <c r="I11" s="195"/>
      <c r="J11" s="191"/>
      <c r="K11" s="202"/>
      <c r="L11" s="193"/>
      <c r="M11" s="193"/>
      <c r="N11" s="193"/>
      <c r="O11" s="193"/>
      <c r="P11" s="206"/>
      <c r="Q11" s="193"/>
      <c r="R11" s="193"/>
      <c r="S11" s="193"/>
      <c r="T11" s="193"/>
      <c r="U11" s="193"/>
      <c r="V11" s="193"/>
    </row>
    <row r="12" spans="1:22" x14ac:dyDescent="0.25">
      <c r="A12" s="193"/>
      <c r="B12" s="195" t="s">
        <v>144</v>
      </c>
      <c r="C12" s="191" t="e">
        <f>C10*10</f>
        <v>#REF!</v>
      </c>
      <c r="D12" s="195" t="s">
        <v>8</v>
      </c>
      <c r="E12" s="191"/>
      <c r="F12" s="191"/>
      <c r="G12" s="195" t="s">
        <v>368</v>
      </c>
      <c r="H12" s="191">
        <f>H10*10</f>
        <v>10</v>
      </c>
      <c r="I12" s="195" t="s">
        <v>8</v>
      </c>
      <c r="J12" s="191"/>
      <c r="K12" s="202"/>
      <c r="L12" s="193"/>
      <c r="M12" s="193"/>
      <c r="N12" s="193"/>
      <c r="O12" s="193"/>
      <c r="P12" s="193"/>
      <c r="Q12" s="193"/>
      <c r="R12" s="193"/>
      <c r="S12" s="193"/>
      <c r="T12" s="193"/>
      <c r="U12" s="193"/>
      <c r="V12" s="193"/>
    </row>
    <row r="13" spans="1:22" x14ac:dyDescent="0.25">
      <c r="A13" s="193"/>
      <c r="B13" s="195" t="s">
        <v>369</v>
      </c>
      <c r="C13" s="191" t="e">
        <f>IF('Design Calculator'!F56="NA", MIN(SOA!C12,10),SOA!C12)</f>
        <v>#REF!</v>
      </c>
      <c r="D13" s="195"/>
      <c r="E13" s="191"/>
      <c r="F13" s="191"/>
      <c r="G13" s="195" t="s">
        <v>369</v>
      </c>
      <c r="H13" s="191">
        <f>IF('Design Calculator'!F56="NA", MIN(SOA!H12,10),SOA!H12)</f>
        <v>10</v>
      </c>
      <c r="I13" s="195"/>
      <c r="J13" s="191"/>
      <c r="K13" s="202"/>
      <c r="L13" s="193"/>
      <c r="M13" s="193"/>
      <c r="N13" s="193"/>
      <c r="O13" s="193"/>
      <c r="P13" s="193"/>
      <c r="Q13" s="193"/>
      <c r="R13" s="193"/>
      <c r="S13" s="193"/>
      <c r="T13" s="193"/>
      <c r="U13" s="193"/>
      <c r="V13" s="193"/>
    </row>
    <row r="14" spans="1:22" x14ac:dyDescent="0.25">
      <c r="A14" s="193"/>
      <c r="B14" s="195" t="s">
        <v>145</v>
      </c>
      <c r="C14" s="191" t="e">
        <f>IF(C11=0.1, B4, IF(C11=1, C4, IF(C11=10, D4, E4)))</f>
        <v>#REF!</v>
      </c>
      <c r="D14" s="195" t="s">
        <v>27</v>
      </c>
      <c r="E14" s="191"/>
      <c r="F14" s="191"/>
      <c r="G14" s="195" t="s">
        <v>145</v>
      </c>
      <c r="H14" s="191">
        <f>IF(H11=0.1, B4, IF(H11=1, C4, IF(H11=10, D4, E4)))</f>
        <v>21</v>
      </c>
      <c r="I14" s="195" t="s">
        <v>27</v>
      </c>
      <c r="J14" s="191"/>
      <c r="K14" s="202"/>
      <c r="L14" s="193"/>
      <c r="M14" s="193"/>
      <c r="N14" s="193"/>
      <c r="O14" s="193"/>
      <c r="P14" s="193"/>
      <c r="Q14" s="193"/>
      <c r="R14" s="193"/>
      <c r="S14" s="193"/>
      <c r="T14" s="193"/>
      <c r="U14" s="193"/>
      <c r="V14" s="193"/>
    </row>
    <row r="15" spans="1:22" x14ac:dyDescent="0.25">
      <c r="A15" s="193"/>
      <c r="B15" s="195" t="s">
        <v>146</v>
      </c>
      <c r="C15" s="191" t="e">
        <f>IF(C13=1000, F4, IF(C13=1, C4, IF(C13=10, D4, E4)))</f>
        <v>#REF!</v>
      </c>
      <c r="D15" s="195" t="s">
        <v>27</v>
      </c>
      <c r="E15" s="191"/>
      <c r="F15" s="191"/>
      <c r="G15" s="195" t="s">
        <v>146</v>
      </c>
      <c r="H15" s="191">
        <f>IF(H13=1000, F4, IF(H13=1, C4, IF(H13=10, D4, E4)))</f>
        <v>9</v>
      </c>
      <c r="I15" s="195" t="s">
        <v>27</v>
      </c>
      <c r="J15" s="191"/>
      <c r="K15" s="202"/>
      <c r="L15" s="193"/>
      <c r="M15" s="193"/>
      <c r="N15" s="193"/>
      <c r="O15" s="193"/>
      <c r="P15" s="193"/>
      <c r="Q15" s="193"/>
      <c r="R15" s="193"/>
      <c r="S15" s="193"/>
      <c r="T15" s="193"/>
      <c r="U15" s="193"/>
      <c r="V15" s="193"/>
    </row>
    <row r="16" spans="1:22" x14ac:dyDescent="0.25">
      <c r="A16" s="193"/>
      <c r="B16" s="191"/>
      <c r="C16" s="191"/>
      <c r="D16" s="191"/>
      <c r="E16" s="191"/>
      <c r="F16" s="191"/>
      <c r="G16" s="191"/>
      <c r="H16" s="191"/>
      <c r="I16" s="191"/>
      <c r="J16" s="191"/>
      <c r="K16" s="202"/>
      <c r="L16" s="193"/>
      <c r="M16" s="193"/>
      <c r="N16" s="193"/>
      <c r="O16" s="193"/>
      <c r="P16" s="193"/>
      <c r="Q16" s="193"/>
      <c r="R16" s="193"/>
      <c r="S16" s="193"/>
      <c r="T16" s="193"/>
      <c r="U16" s="193"/>
      <c r="V16" s="193"/>
    </row>
    <row r="17" spans="1:22" x14ac:dyDescent="0.25">
      <c r="A17" s="193"/>
      <c r="B17" s="195" t="s">
        <v>150</v>
      </c>
      <c r="C17" s="191"/>
      <c r="D17" s="191"/>
      <c r="E17" s="191"/>
      <c r="F17" s="191"/>
      <c r="G17" s="195" t="s">
        <v>150</v>
      </c>
      <c r="H17" s="191"/>
      <c r="I17" s="191"/>
      <c r="J17" s="191"/>
      <c r="K17" s="202"/>
      <c r="L17" s="193"/>
      <c r="M17" s="193"/>
      <c r="N17" s="193"/>
      <c r="O17" s="193"/>
      <c r="P17" s="193"/>
      <c r="Q17" s="193"/>
      <c r="R17" s="193"/>
      <c r="S17" s="193"/>
      <c r="T17" s="193"/>
      <c r="U17" s="193"/>
      <c r="V17" s="193"/>
    </row>
    <row r="18" spans="1:22" x14ac:dyDescent="0.25">
      <c r="A18" s="193"/>
      <c r="B18" s="195" t="s">
        <v>147</v>
      </c>
      <c r="C18" s="191" t="e">
        <f>C14/C11^C19</f>
        <v>#REF!</v>
      </c>
      <c r="D18" s="191"/>
      <c r="E18" s="191"/>
      <c r="F18" s="195"/>
      <c r="G18" s="195" t="s">
        <v>147</v>
      </c>
      <c r="H18" s="191">
        <f>H14/H11^H19</f>
        <v>21</v>
      </c>
      <c r="I18" s="191"/>
      <c r="J18" s="191"/>
      <c r="K18" s="191"/>
      <c r="L18" s="191"/>
      <c r="M18" s="191"/>
      <c r="N18" s="191"/>
      <c r="O18" s="216"/>
      <c r="P18" s="216"/>
      <c r="Q18" s="193"/>
      <c r="R18" s="193"/>
      <c r="S18" s="193"/>
      <c r="T18" s="193"/>
      <c r="U18" s="193"/>
      <c r="V18" s="193"/>
    </row>
    <row r="19" spans="1:22" x14ac:dyDescent="0.25">
      <c r="A19" s="193"/>
      <c r="B19" s="195" t="s">
        <v>148</v>
      </c>
      <c r="C19" s="191" t="e">
        <f>LOG(C14/C15)/LOG(C11/C13)</f>
        <v>#REF!</v>
      </c>
      <c r="D19" s="191"/>
      <c r="E19" s="191"/>
      <c r="F19" s="195"/>
      <c r="G19" s="195" t="s">
        <v>148</v>
      </c>
      <c r="H19" s="191">
        <f>IF(H14=H15,0.000000000001,LOG(H14/H15)/LOG(H11/H13))</f>
        <v>-0.36797678529459443</v>
      </c>
      <c r="I19" s="195" t="s">
        <v>375</v>
      </c>
      <c r="J19" s="191"/>
      <c r="K19" s="202"/>
      <c r="L19" s="193"/>
      <c r="M19" s="216"/>
      <c r="N19" s="216"/>
      <c r="O19" s="193"/>
      <c r="P19" s="193"/>
      <c r="Q19" s="193"/>
      <c r="R19" s="193"/>
      <c r="S19" s="193"/>
      <c r="T19" s="193"/>
      <c r="U19" s="193"/>
      <c r="V19" s="193"/>
    </row>
    <row r="20" spans="1:22" x14ac:dyDescent="0.25">
      <c r="A20" s="193"/>
      <c r="B20" s="195" t="s">
        <v>149</v>
      </c>
      <c r="C20" s="191" t="e">
        <f>C18*C8^C19</f>
        <v>#REF!</v>
      </c>
      <c r="D20" s="195" t="s">
        <v>27</v>
      </c>
      <c r="E20" s="191"/>
      <c r="F20" s="191"/>
      <c r="G20" s="195" t="s">
        <v>149</v>
      </c>
      <c r="H20" s="191">
        <f>H18*H8^H19</f>
        <v>18.379966530289799</v>
      </c>
      <c r="I20" s="191"/>
      <c r="J20" s="191"/>
      <c r="K20" s="202"/>
      <c r="L20" s="193"/>
      <c r="M20" s="204"/>
      <c r="N20" s="193"/>
      <c r="O20" s="193"/>
      <c r="P20" s="193"/>
      <c r="Q20" s="193"/>
      <c r="R20" s="193"/>
      <c r="S20" s="193"/>
      <c r="T20" s="193"/>
      <c r="U20" s="193"/>
      <c r="V20" s="193"/>
    </row>
    <row r="21" spans="1:22" x14ac:dyDescent="0.25">
      <c r="A21" s="193"/>
      <c r="B21" s="191"/>
      <c r="C21" s="191"/>
      <c r="D21" s="191"/>
      <c r="E21" s="191"/>
      <c r="F21" s="191"/>
      <c r="G21" s="191"/>
      <c r="H21" s="191"/>
      <c r="I21" s="191"/>
      <c r="J21" s="191"/>
      <c r="K21" s="202"/>
      <c r="L21" s="193"/>
      <c r="M21" s="193"/>
      <c r="N21" s="201"/>
      <c r="O21" s="193"/>
      <c r="P21" s="193"/>
      <c r="Q21" s="193"/>
      <c r="R21" s="193"/>
      <c r="S21" s="193"/>
      <c r="T21" s="193"/>
      <c r="U21" s="193"/>
      <c r="V21" s="193"/>
    </row>
    <row r="22" spans="1:22" x14ac:dyDescent="0.25">
      <c r="A22" s="193"/>
      <c r="B22" s="196" t="s">
        <v>152</v>
      </c>
      <c r="C22" s="191" t="e">
        <f xml:space="preserve"> C20*C9</f>
        <v>#REF!</v>
      </c>
      <c r="D22" s="195"/>
      <c r="E22" s="191"/>
      <c r="F22" s="191"/>
      <c r="G22" s="196" t="s">
        <v>152</v>
      </c>
      <c r="H22" s="191">
        <f xml:space="preserve"> H20*H9</f>
        <v>294.07946448463679</v>
      </c>
      <c r="I22" s="191"/>
      <c r="J22" s="191"/>
      <c r="K22" s="202"/>
      <c r="L22" s="193"/>
      <c r="M22" s="193"/>
      <c r="N22" s="193"/>
      <c r="O22" s="193"/>
      <c r="P22" s="193"/>
      <c r="Q22" s="193"/>
      <c r="R22" s="193"/>
      <c r="S22" s="193"/>
      <c r="T22" s="193"/>
      <c r="U22" s="193"/>
      <c r="V22" s="193"/>
    </row>
    <row r="23" spans="1:22" x14ac:dyDescent="0.25">
      <c r="A23" s="193"/>
      <c r="B23" s="191"/>
      <c r="C23" s="191"/>
      <c r="D23" s="191"/>
      <c r="E23" s="191"/>
      <c r="F23" s="191"/>
      <c r="G23" s="191"/>
      <c r="H23" s="191"/>
      <c r="I23" s="191"/>
      <c r="J23" s="191"/>
      <c r="K23" s="202"/>
      <c r="L23" s="193"/>
      <c r="M23" s="193"/>
      <c r="N23" s="193"/>
      <c r="O23" s="193"/>
      <c r="P23" s="193"/>
      <c r="Q23" s="193"/>
      <c r="R23" s="193"/>
      <c r="S23" s="193"/>
      <c r="T23" s="193"/>
      <c r="U23" s="193"/>
      <c r="V23" s="193"/>
    </row>
    <row r="24" spans="1:22" x14ac:dyDescent="0.25">
      <c r="A24" s="193"/>
      <c r="B24" s="191"/>
      <c r="C24" s="191"/>
      <c r="D24" s="191"/>
      <c r="E24" s="191"/>
      <c r="F24" s="191"/>
      <c r="G24" s="195" t="s">
        <v>298</v>
      </c>
      <c r="H24" s="191">
        <f>'Design Calculator'!F69</f>
        <v>0.5</v>
      </c>
      <c r="I24" s="191"/>
      <c r="J24" s="191"/>
      <c r="K24" s="202"/>
      <c r="L24" s="193"/>
      <c r="M24" s="193"/>
      <c r="N24" s="193"/>
      <c r="O24" s="201"/>
      <c r="P24" s="193"/>
      <c r="Q24" s="193"/>
      <c r="R24" s="193"/>
      <c r="S24" s="193"/>
      <c r="T24" s="193"/>
      <c r="U24" s="193"/>
      <c r="V24" s="193"/>
    </row>
    <row r="25" spans="1:22" x14ac:dyDescent="0.25">
      <c r="A25" s="193"/>
      <c r="B25" s="210" t="s">
        <v>158</v>
      </c>
      <c r="C25" s="191">
        <f>(TJMAX-TJ)/(TJMAX-25)</f>
        <v>0.63936000000000004</v>
      </c>
      <c r="D25" s="202"/>
      <c r="E25" s="202"/>
      <c r="F25" s="202"/>
      <c r="G25" s="195" t="s">
        <v>297</v>
      </c>
      <c r="H25" s="191">
        <f>IF(H24="Yes", TJ,TAMB)</f>
        <v>55</v>
      </c>
      <c r="I25" s="191"/>
      <c r="J25" s="191"/>
      <c r="K25" s="202"/>
      <c r="L25" s="193"/>
      <c r="M25" s="193"/>
      <c r="N25" s="193"/>
      <c r="O25" s="201"/>
      <c r="P25" s="193"/>
      <c r="Q25" s="193"/>
      <c r="R25" s="193"/>
      <c r="S25" s="193"/>
      <c r="T25" s="193"/>
      <c r="U25" s="193"/>
      <c r="V25" s="193"/>
    </row>
    <row r="26" spans="1:22" x14ac:dyDescent="0.25">
      <c r="A26" s="193"/>
      <c r="B26" s="208" t="s">
        <v>153</v>
      </c>
      <c r="C26" s="191" t="e">
        <f>IF((C22*C25)&lt;0,0.000000001,C22*C25)</f>
        <v>#REF!</v>
      </c>
      <c r="D26" s="209" t="s">
        <v>69</v>
      </c>
      <c r="E26" s="202"/>
      <c r="F26" s="202"/>
      <c r="G26" s="191"/>
      <c r="H26" s="191"/>
      <c r="I26" s="191"/>
      <c r="J26" s="191"/>
      <c r="K26" s="202"/>
      <c r="L26" s="193"/>
      <c r="M26" s="193"/>
      <c r="N26" s="193"/>
      <c r="O26" s="193"/>
      <c r="P26" s="193"/>
      <c r="Q26" s="193"/>
      <c r="R26" s="193"/>
      <c r="S26" s="193"/>
      <c r="T26" s="193"/>
      <c r="U26" s="193"/>
      <c r="V26" s="193"/>
    </row>
    <row r="27" spans="1:22" x14ac:dyDescent="0.25">
      <c r="A27" s="193"/>
      <c r="B27" s="201"/>
      <c r="C27" s="201"/>
      <c r="D27" s="202"/>
      <c r="E27" s="202"/>
      <c r="F27" s="202"/>
      <c r="G27" s="210" t="s">
        <v>158</v>
      </c>
      <c r="H27" s="191">
        <f>(TJMAX-H25)/(TJMAX-25)</f>
        <v>0.76</v>
      </c>
      <c r="I27" s="191"/>
      <c r="J27" s="191"/>
      <c r="K27" s="202"/>
      <c r="L27" s="193"/>
      <c r="M27" s="193"/>
      <c r="N27" s="193"/>
      <c r="O27" s="193"/>
      <c r="P27" s="193"/>
      <c r="Q27" s="193"/>
      <c r="R27" s="193"/>
      <c r="S27" s="193"/>
      <c r="T27" s="193"/>
      <c r="U27" s="193"/>
      <c r="V27" s="193"/>
    </row>
    <row r="28" spans="1:22" x14ac:dyDescent="0.25">
      <c r="A28" s="193"/>
      <c r="B28" s="201"/>
      <c r="C28" s="191"/>
      <c r="D28" s="202"/>
      <c r="E28" s="202"/>
      <c r="F28" s="202"/>
      <c r="G28" s="208" t="s">
        <v>153</v>
      </c>
      <c r="H28" s="191">
        <f>IF((H22*H27)&lt;0,0.000000001,H22*H27)</f>
        <v>223.50039300832395</v>
      </c>
      <c r="I28" s="191"/>
      <c r="J28" s="191"/>
      <c r="K28" s="202"/>
      <c r="L28" s="193"/>
      <c r="M28" s="193"/>
      <c r="N28" s="193"/>
      <c r="O28" s="193"/>
      <c r="P28" s="193"/>
      <c r="Q28" s="193"/>
      <c r="R28" s="193"/>
      <c r="S28" s="193"/>
      <c r="T28" s="193"/>
      <c r="U28" s="193"/>
      <c r="V28" s="193"/>
    </row>
    <row r="29" spans="1:22" x14ac:dyDescent="0.25">
      <c r="A29" s="193"/>
      <c r="B29" s="210" t="s">
        <v>327</v>
      </c>
      <c r="C29" s="191"/>
      <c r="D29" s="202"/>
      <c r="E29" s="202"/>
      <c r="F29" s="202"/>
      <c r="G29" s="191"/>
      <c r="H29" s="193"/>
      <c r="I29" s="207"/>
      <c r="J29" s="207"/>
      <c r="K29" s="207"/>
      <c r="L29" s="193"/>
      <c r="M29" s="193"/>
      <c r="N29" s="193"/>
      <c r="O29" s="193"/>
      <c r="P29" s="193"/>
      <c r="Q29" s="193"/>
      <c r="R29" s="193"/>
      <c r="S29" s="193"/>
      <c r="T29" s="193"/>
      <c r="U29" s="193"/>
      <c r="V29" s="193"/>
    </row>
    <row r="30" spans="1:22" x14ac:dyDescent="0.25">
      <c r="A30" s="193"/>
      <c r="B30" s="191"/>
      <c r="C30" s="205" t="s">
        <v>328</v>
      </c>
      <c r="D30" s="215" t="s">
        <v>329</v>
      </c>
      <c r="E30" s="215" t="s">
        <v>330</v>
      </c>
      <c r="F30" s="215" t="s">
        <v>331</v>
      </c>
      <c r="G30" s="202"/>
      <c r="H30" s="193"/>
      <c r="I30" s="207"/>
      <c r="J30" s="207"/>
      <c r="K30" s="207"/>
      <c r="L30" s="193"/>
      <c r="M30" s="193"/>
      <c r="N30" s="193"/>
      <c r="O30" s="193"/>
      <c r="P30" s="193"/>
      <c r="Q30" s="193"/>
      <c r="R30" s="193"/>
      <c r="S30" s="193"/>
      <c r="T30" s="193"/>
      <c r="U30" s="193"/>
      <c r="V30" s="193"/>
    </row>
    <row r="31" spans="1:22" x14ac:dyDescent="0.25">
      <c r="A31" s="191"/>
      <c r="B31" s="210" t="s">
        <v>332</v>
      </c>
      <c r="C31" s="197">
        <v>0.1</v>
      </c>
      <c r="D31" s="192">
        <v>1</v>
      </c>
      <c r="E31" s="202">
        <v>10</v>
      </c>
      <c r="F31" s="201">
        <v>100</v>
      </c>
      <c r="G31" s="212"/>
      <c r="H31" s="193"/>
      <c r="I31" s="193"/>
      <c r="J31" s="193"/>
      <c r="K31" s="193"/>
      <c r="L31" s="193"/>
      <c r="M31" s="193"/>
      <c r="N31" s="193"/>
      <c r="O31" s="193"/>
      <c r="P31" s="193"/>
      <c r="Q31" s="193"/>
      <c r="R31" s="193"/>
      <c r="S31" s="193"/>
      <c r="T31" s="193"/>
      <c r="U31" s="193"/>
      <c r="V31" s="193"/>
    </row>
    <row r="32" spans="1:22" x14ac:dyDescent="0.25">
      <c r="A32" s="191"/>
      <c r="B32" s="197" t="s">
        <v>333</v>
      </c>
      <c r="C32" s="192">
        <v>1</v>
      </c>
      <c r="D32" s="192">
        <v>10</v>
      </c>
      <c r="E32" s="202">
        <v>100</v>
      </c>
      <c r="F32" s="201">
        <v>1000</v>
      </c>
      <c r="G32" s="208"/>
      <c r="H32" s="193"/>
      <c r="I32" s="193"/>
      <c r="J32" s="193"/>
      <c r="K32" s="193"/>
      <c r="L32" s="193"/>
      <c r="M32" s="193"/>
      <c r="N32" s="193"/>
      <c r="O32" s="193"/>
      <c r="P32" s="193"/>
      <c r="Q32" s="193"/>
      <c r="R32" s="193"/>
      <c r="S32" s="193"/>
      <c r="T32" s="193"/>
      <c r="U32" s="193"/>
      <c r="V32" s="193"/>
    </row>
    <row r="33" spans="2:22" x14ac:dyDescent="0.25">
      <c r="B33" s="197" t="s">
        <v>147</v>
      </c>
      <c r="C33" s="192">
        <f>B4/(C31^C34)</f>
        <v>21.000000000000007</v>
      </c>
      <c r="D33" s="192">
        <f>C4/(D31^D34)</f>
        <v>21</v>
      </c>
      <c r="E33" s="192">
        <f>IF('Design Calculator'!F56="NA",D33,D4/(E31^E34))</f>
        <v>16.2</v>
      </c>
      <c r="F33" s="192">
        <f>IF('Design Calculator'!F56="NA", E33, E4/(F31^F34))</f>
        <v>15.943877551020408</v>
      </c>
      <c r="G33" s="195"/>
      <c r="H33" s="193"/>
      <c r="I33" s="193"/>
      <c r="J33" s="193"/>
      <c r="K33" s="193"/>
      <c r="L33" s="193"/>
      <c r="M33" s="193"/>
      <c r="N33" s="193"/>
      <c r="O33" s="193"/>
      <c r="P33" s="193"/>
      <c r="Q33" s="193"/>
      <c r="R33" s="193"/>
      <c r="S33" s="193"/>
      <c r="T33" s="193"/>
      <c r="U33" s="193"/>
      <c r="V33" s="193"/>
    </row>
    <row r="34" spans="2:22" x14ac:dyDescent="0.25">
      <c r="B34" s="197" t="s">
        <v>148</v>
      </c>
      <c r="C34" s="194">
        <f>LOG(B4/C4)/LOG(C31/C32)</f>
        <v>-0.88190068792200549</v>
      </c>
      <c r="D34" s="194">
        <f>LOG(C4/D4)/LOG(D31/D32)</f>
        <v>-0.36797678529459443</v>
      </c>
      <c r="E34" s="194">
        <f>IF('Design Calculator'!F56="NA", D34, LOG(D4/E4)/LOG(E31/E32))</f>
        <v>-0.25527250510330607</v>
      </c>
      <c r="F34" s="194">
        <f>IF('Design Calculator'!F56="NA",E34,LOG(E4/F4)/LOG(F31/F32))</f>
        <v>-0.25181197299379959</v>
      </c>
      <c r="G34" s="195"/>
      <c r="H34" s="193"/>
      <c r="I34" s="193"/>
      <c r="J34" s="193"/>
      <c r="K34" s="193"/>
      <c r="L34" s="193"/>
      <c r="M34" s="193"/>
      <c r="N34" s="193"/>
      <c r="O34" s="193"/>
      <c r="P34" s="193"/>
      <c r="Q34" s="193"/>
      <c r="R34" s="193"/>
      <c r="S34" s="193"/>
      <c r="T34" s="193"/>
      <c r="U34" s="193"/>
      <c r="V34" s="193"/>
    </row>
    <row r="35" spans="2:22" x14ac:dyDescent="0.25">
      <c r="B35" s="191"/>
      <c r="C35" s="191"/>
      <c r="D35" s="191"/>
      <c r="E35" s="202"/>
      <c r="F35" s="193"/>
      <c r="G35" s="195"/>
      <c r="H35" s="193"/>
      <c r="I35" s="193"/>
      <c r="J35" s="193"/>
      <c r="K35" s="193"/>
      <c r="L35" s="193"/>
      <c r="M35" s="193"/>
      <c r="N35" s="193"/>
      <c r="O35" s="193"/>
      <c r="P35" s="193"/>
      <c r="Q35" s="193"/>
      <c r="R35" s="193"/>
      <c r="S35" s="193"/>
      <c r="T35" s="193"/>
      <c r="U35" s="193"/>
      <c r="V35" s="193"/>
    </row>
    <row r="36" spans="2:22" ht="13.8" thickBot="1" x14ac:dyDescent="0.3">
      <c r="B36" s="85" t="s">
        <v>376</v>
      </c>
      <c r="C36" s="86"/>
      <c r="D36" s="191"/>
      <c r="E36" s="202"/>
      <c r="F36" s="193"/>
      <c r="G36" s="85" t="s">
        <v>376</v>
      </c>
      <c r="H36" s="86"/>
      <c r="I36" s="193"/>
      <c r="J36" s="193"/>
      <c r="K36" s="193"/>
      <c r="L36" s="193"/>
      <c r="M36" s="193"/>
      <c r="N36" s="193"/>
      <c r="O36" s="193"/>
      <c r="P36" s="193"/>
      <c r="Q36" s="193"/>
      <c r="R36" s="193"/>
      <c r="S36" s="193"/>
      <c r="T36" s="193"/>
      <c r="U36" s="193"/>
      <c r="V36" s="193"/>
    </row>
    <row r="37" spans="2:22" ht="15.6" x14ac:dyDescent="0.35">
      <c r="B37" s="87" t="s">
        <v>37</v>
      </c>
      <c r="C37" s="88" t="s">
        <v>81</v>
      </c>
      <c r="D37" s="191"/>
      <c r="E37" s="202"/>
      <c r="F37" s="193"/>
      <c r="G37" s="87" t="s">
        <v>37</v>
      </c>
      <c r="H37" s="88" t="s">
        <v>81</v>
      </c>
      <c r="I37" s="193"/>
      <c r="J37" s="193"/>
      <c r="K37" s="193"/>
      <c r="L37" s="193"/>
      <c r="M37" s="193"/>
      <c r="N37" s="193"/>
      <c r="O37" s="193"/>
      <c r="P37" s="193"/>
      <c r="Q37" s="193"/>
      <c r="R37" s="193"/>
      <c r="S37" s="193"/>
      <c r="T37" s="193"/>
      <c r="U37" s="193"/>
      <c r="V37" s="193"/>
    </row>
    <row r="38" spans="2:22" x14ac:dyDescent="0.25">
      <c r="B38" s="89" t="s">
        <v>9</v>
      </c>
      <c r="C38" s="90" t="s">
        <v>10</v>
      </c>
      <c r="D38" s="191"/>
      <c r="E38" s="202"/>
      <c r="F38" s="193"/>
      <c r="G38" s="89" t="s">
        <v>9</v>
      </c>
      <c r="H38" s="90" t="s">
        <v>10</v>
      </c>
      <c r="I38" s="193"/>
      <c r="J38" s="193"/>
      <c r="K38" s="193"/>
      <c r="L38" s="193"/>
      <c r="M38" s="193"/>
      <c r="N38" s="193"/>
      <c r="O38" s="193"/>
      <c r="P38" s="193"/>
      <c r="Q38" s="193"/>
      <c r="R38" s="193"/>
      <c r="S38" s="193"/>
      <c r="T38" s="193"/>
      <c r="U38" s="193"/>
      <c r="V38" s="193"/>
    </row>
    <row r="39" spans="2:22" x14ac:dyDescent="0.25">
      <c r="B39" s="91">
        <v>1</v>
      </c>
      <c r="C39" s="92" t="e">
        <f>SOA!$C$26/B39</f>
        <v>#REF!</v>
      </c>
      <c r="D39" s="191"/>
      <c r="E39" s="202"/>
      <c r="F39" s="193"/>
      <c r="G39" s="91">
        <v>1</v>
      </c>
      <c r="H39" s="92">
        <f>H28/G39</f>
        <v>223.50039300832395</v>
      </c>
      <c r="I39" s="193"/>
      <c r="J39" s="193"/>
      <c r="K39" s="193"/>
      <c r="L39" s="193"/>
      <c r="M39" s="193"/>
      <c r="N39" s="193"/>
      <c r="O39" s="193"/>
      <c r="P39" s="193"/>
      <c r="Q39" s="193"/>
      <c r="R39" s="193"/>
      <c r="S39" s="193"/>
      <c r="T39" s="193"/>
      <c r="U39" s="193"/>
      <c r="V39" s="193"/>
    </row>
    <row r="40" spans="2:22" x14ac:dyDescent="0.25">
      <c r="B40" s="91">
        <v>1.2</v>
      </c>
      <c r="C40" s="92" t="e">
        <f>SOA!$C$26/B40</f>
        <v>#REF!</v>
      </c>
      <c r="D40" s="191"/>
      <c r="E40" s="202"/>
      <c r="F40" s="193"/>
      <c r="G40" s="91">
        <v>1.2</v>
      </c>
      <c r="H40" s="92">
        <f>H28/G40</f>
        <v>186.25032750693663</v>
      </c>
      <c r="I40" s="193"/>
      <c r="J40" s="193"/>
      <c r="K40" s="193"/>
      <c r="L40" s="193"/>
      <c r="M40" s="193"/>
      <c r="N40" s="193"/>
      <c r="O40" s="193"/>
      <c r="P40" s="193"/>
      <c r="Q40" s="193"/>
      <c r="R40" s="193"/>
      <c r="S40" s="193"/>
      <c r="T40" s="193"/>
      <c r="U40" s="193"/>
      <c r="V40" s="193"/>
    </row>
    <row r="41" spans="2:22" x14ac:dyDescent="0.25">
      <c r="B41" s="91">
        <v>30</v>
      </c>
      <c r="C41" s="92" t="e">
        <f>SOA!$C$26/B41</f>
        <v>#REF!</v>
      </c>
      <c r="D41" s="191"/>
      <c r="E41" s="202"/>
      <c r="F41" s="193"/>
      <c r="G41" s="91">
        <v>30</v>
      </c>
      <c r="H41" s="92">
        <f>H28/G41</f>
        <v>7.4500131002774648</v>
      </c>
      <c r="I41" s="193"/>
      <c r="J41" s="193"/>
      <c r="K41" s="193"/>
      <c r="L41" s="193"/>
      <c r="M41" s="193"/>
      <c r="N41" s="193"/>
      <c r="O41" s="193"/>
      <c r="P41" s="193"/>
      <c r="Q41" s="193"/>
      <c r="R41" s="193"/>
      <c r="S41" s="193"/>
      <c r="T41" s="193"/>
      <c r="U41" s="193"/>
      <c r="V41" s="193"/>
    </row>
    <row r="42" spans="2:22" x14ac:dyDescent="0.25">
      <c r="B42" s="91"/>
      <c r="C42" s="92"/>
      <c r="D42" s="191"/>
      <c r="E42" s="202"/>
      <c r="F42" s="193"/>
      <c r="G42" s="91"/>
      <c r="H42" s="92"/>
      <c r="I42" s="193"/>
      <c r="J42" s="193"/>
      <c r="K42" s="193"/>
      <c r="L42" s="193"/>
      <c r="M42" s="193"/>
      <c r="N42" s="193"/>
      <c r="O42" s="193"/>
      <c r="P42" s="193"/>
      <c r="Q42" s="193"/>
      <c r="R42" s="193"/>
      <c r="S42" s="193"/>
      <c r="T42" s="193"/>
      <c r="U42" s="193"/>
      <c r="V42" s="193"/>
    </row>
    <row r="43" spans="2:22" ht="13.8" thickBot="1" x14ac:dyDescent="0.3">
      <c r="B43" s="93"/>
      <c r="C43" s="94"/>
      <c r="D43" s="191"/>
      <c r="E43" s="202"/>
      <c r="F43" s="193"/>
      <c r="G43" s="93"/>
      <c r="H43" s="94"/>
      <c r="I43" s="193"/>
      <c r="J43" s="193"/>
      <c r="K43" s="193"/>
      <c r="L43" s="193"/>
      <c r="M43" s="193"/>
      <c r="N43" s="193"/>
      <c r="O43" s="193"/>
      <c r="P43" s="193"/>
      <c r="Q43" s="193"/>
      <c r="R43" s="193"/>
      <c r="S43" s="193"/>
      <c r="T43" s="193"/>
      <c r="U43" s="193"/>
      <c r="V43" s="193"/>
    </row>
    <row r="44" spans="2:22" x14ac:dyDescent="0.25">
      <c r="B44" s="191"/>
      <c r="C44" s="191"/>
      <c r="D44" s="191"/>
      <c r="E44" s="202"/>
      <c r="F44" s="193"/>
      <c r="G44" s="195"/>
      <c r="H44" s="193"/>
      <c r="I44" s="193"/>
      <c r="J44" s="193"/>
      <c r="K44" s="193"/>
      <c r="L44" s="193"/>
      <c r="M44" s="193"/>
      <c r="N44" s="193"/>
      <c r="O44" s="193"/>
      <c r="P44" s="193"/>
      <c r="Q44" s="193"/>
      <c r="R44" s="193"/>
      <c r="S44" s="193"/>
      <c r="T44" s="193"/>
      <c r="U44" s="193"/>
      <c r="V44" s="193"/>
    </row>
    <row r="45" spans="2:22" x14ac:dyDescent="0.25">
      <c r="B45" s="191"/>
      <c r="C45" s="191"/>
      <c r="D45" s="191"/>
      <c r="E45" s="202"/>
      <c r="F45" s="193"/>
      <c r="G45" s="191"/>
      <c r="H45" s="193"/>
      <c r="I45" s="193"/>
      <c r="J45" s="193"/>
      <c r="K45" s="193"/>
      <c r="L45" s="193"/>
      <c r="M45" s="193"/>
      <c r="N45" s="193"/>
      <c r="O45" s="193"/>
      <c r="P45" s="193"/>
      <c r="Q45" s="193"/>
      <c r="R45" s="193"/>
      <c r="S45" s="193"/>
      <c r="T45" s="193"/>
      <c r="U45" s="193"/>
      <c r="V45" s="193"/>
    </row>
    <row r="46" spans="2:22" x14ac:dyDescent="0.25">
      <c r="B46" s="191"/>
      <c r="C46" s="191"/>
      <c r="D46" s="191"/>
      <c r="E46" s="202"/>
      <c r="F46" s="193"/>
      <c r="G46" s="196"/>
      <c r="H46" s="193"/>
      <c r="I46" s="193"/>
      <c r="J46" s="193"/>
      <c r="K46" s="193"/>
      <c r="L46" s="193"/>
      <c r="M46" s="193"/>
      <c r="N46" s="193"/>
      <c r="O46" s="193"/>
      <c r="P46" s="193"/>
      <c r="Q46" s="193"/>
      <c r="R46" s="193"/>
      <c r="S46" s="193"/>
      <c r="T46" s="193"/>
      <c r="U46" s="193"/>
      <c r="V46" s="193"/>
    </row>
    <row r="47" spans="2:22" x14ac:dyDescent="0.25">
      <c r="B47" s="191"/>
      <c r="C47" s="191"/>
      <c r="D47" s="191"/>
      <c r="E47" s="202"/>
      <c r="F47" s="193"/>
      <c r="G47" s="191"/>
      <c r="H47" s="193"/>
      <c r="I47" s="193"/>
      <c r="J47" s="193"/>
      <c r="K47" s="193"/>
      <c r="L47" s="193"/>
      <c r="M47" s="193"/>
      <c r="N47" s="193"/>
      <c r="O47" s="193"/>
      <c r="P47" s="193"/>
      <c r="Q47" s="193"/>
      <c r="R47" s="193"/>
      <c r="S47" s="193"/>
      <c r="T47" s="193"/>
      <c r="U47" s="193"/>
      <c r="V47" s="193"/>
    </row>
    <row r="48" spans="2:22" x14ac:dyDescent="0.25">
      <c r="B48" s="191"/>
      <c r="C48" s="191"/>
      <c r="D48" s="191"/>
      <c r="E48" s="202"/>
      <c r="F48" s="193"/>
      <c r="G48" s="191"/>
      <c r="H48" s="193"/>
      <c r="I48" s="193"/>
      <c r="J48" s="193"/>
      <c r="K48" s="193"/>
      <c r="L48" s="193"/>
      <c r="M48" s="193"/>
      <c r="N48" s="193"/>
      <c r="O48" s="193"/>
      <c r="P48" s="193"/>
      <c r="Q48" s="193"/>
      <c r="R48" s="193"/>
      <c r="S48" s="193"/>
      <c r="T48" s="193"/>
      <c r="U48" s="193"/>
      <c r="V48" s="193"/>
    </row>
    <row r="49" spans="1:22" x14ac:dyDescent="0.25">
      <c r="A49" s="191"/>
      <c r="B49" s="191"/>
      <c r="C49" s="191"/>
      <c r="D49" s="191"/>
      <c r="E49" s="202"/>
      <c r="F49" s="193"/>
      <c r="G49" s="210"/>
      <c r="H49" s="193"/>
      <c r="I49" s="193"/>
      <c r="J49" s="193"/>
      <c r="K49" s="193"/>
      <c r="L49" s="193"/>
      <c r="M49" s="193"/>
      <c r="N49" s="193"/>
      <c r="O49" s="193"/>
      <c r="P49" s="193"/>
      <c r="Q49" s="193"/>
      <c r="R49" s="193"/>
      <c r="S49" s="193"/>
      <c r="T49" s="193"/>
      <c r="U49" s="193"/>
      <c r="V49" s="193"/>
    </row>
    <row r="50" spans="1:22" x14ac:dyDescent="0.25">
      <c r="A50" s="191"/>
      <c r="B50" s="191"/>
      <c r="C50" s="191"/>
      <c r="D50" s="191"/>
      <c r="E50" s="202"/>
      <c r="F50" s="193"/>
      <c r="G50" s="208"/>
      <c r="H50" s="193"/>
      <c r="I50" s="193"/>
      <c r="J50" s="193"/>
      <c r="K50" s="193"/>
      <c r="L50" s="193"/>
      <c r="M50" s="193"/>
      <c r="N50" s="193"/>
      <c r="O50" s="193"/>
      <c r="P50" s="193"/>
      <c r="Q50" s="193"/>
      <c r="R50" s="193"/>
      <c r="S50" s="193"/>
      <c r="T50" s="193"/>
      <c r="U50" s="193"/>
      <c r="V50" s="193"/>
    </row>
    <row r="51" spans="1:22" x14ac:dyDescent="0.25">
      <c r="A51" s="191"/>
      <c r="B51" s="191"/>
      <c r="C51" s="191"/>
      <c r="D51" s="191"/>
      <c r="E51" s="202"/>
      <c r="F51" s="202"/>
      <c r="G51" s="202"/>
      <c r="H51" s="193"/>
      <c r="I51" s="193"/>
      <c r="J51" s="193"/>
      <c r="K51" s="193"/>
      <c r="L51" s="193"/>
      <c r="M51" s="193"/>
      <c r="N51" s="193"/>
      <c r="O51" s="193"/>
      <c r="P51" s="193"/>
      <c r="Q51" s="193"/>
      <c r="R51" s="193"/>
      <c r="S51" s="193"/>
      <c r="T51" s="193"/>
      <c r="U51" s="193"/>
      <c r="V51" s="193"/>
    </row>
    <row r="52" spans="1:22" x14ac:dyDescent="0.25">
      <c r="A52" s="191"/>
      <c r="B52" s="191"/>
      <c r="C52" s="191"/>
      <c r="D52" s="191"/>
      <c r="E52" s="202"/>
      <c r="F52" s="202"/>
      <c r="G52" s="202"/>
      <c r="H52" s="193"/>
      <c r="I52" s="193"/>
      <c r="J52" s="193"/>
      <c r="K52" s="193"/>
      <c r="L52" s="193"/>
      <c r="M52" s="193"/>
      <c r="N52" s="193"/>
      <c r="O52" s="193"/>
      <c r="P52" s="193"/>
      <c r="Q52" s="193"/>
      <c r="R52" s="193"/>
      <c r="S52" s="193"/>
      <c r="T52" s="193"/>
      <c r="U52" s="193"/>
      <c r="V52" s="193"/>
    </row>
    <row r="53" spans="1:22" x14ac:dyDescent="0.25">
      <c r="A53" s="193"/>
      <c r="B53" s="193"/>
      <c r="C53" s="201"/>
      <c r="D53" s="202"/>
      <c r="E53" s="202"/>
      <c r="F53" s="202"/>
      <c r="G53" s="202"/>
      <c r="H53" s="193"/>
      <c r="I53" s="193"/>
      <c r="J53" s="193"/>
      <c r="K53" s="193"/>
      <c r="L53" s="193"/>
      <c r="M53" s="193"/>
      <c r="N53" s="193"/>
      <c r="O53" s="193"/>
      <c r="P53" s="193"/>
      <c r="Q53" s="193"/>
      <c r="R53" s="193"/>
      <c r="S53" s="193"/>
      <c r="T53" s="193"/>
      <c r="U53" s="193"/>
      <c r="V53" s="193"/>
    </row>
    <row r="54" spans="1:22" x14ac:dyDescent="0.25">
      <c r="A54" s="193"/>
      <c r="B54" s="193"/>
      <c r="C54" s="201"/>
      <c r="D54" s="202"/>
      <c r="E54" s="202"/>
      <c r="F54" s="202"/>
      <c r="G54" s="202"/>
      <c r="H54" s="193"/>
      <c r="I54" s="193"/>
      <c r="J54" s="193"/>
      <c r="K54" s="193"/>
      <c r="L54" s="193"/>
      <c r="M54" s="193"/>
      <c r="N54" s="193"/>
      <c r="O54" s="193"/>
      <c r="P54" s="193"/>
      <c r="Q54" s="193"/>
      <c r="R54" s="193"/>
      <c r="S54" s="193"/>
      <c r="T54" s="193"/>
      <c r="U54" s="193"/>
      <c r="V54" s="193"/>
    </row>
    <row r="55" spans="1:22" x14ac:dyDescent="0.25">
      <c r="A55" s="193"/>
      <c r="B55" s="193"/>
      <c r="C55" s="201"/>
      <c r="D55" s="202"/>
      <c r="E55" s="202"/>
      <c r="F55" s="202"/>
      <c r="G55" s="202"/>
      <c r="H55" s="193"/>
      <c r="I55" s="193"/>
      <c r="J55" s="193"/>
      <c r="K55" s="193"/>
      <c r="L55" s="193"/>
      <c r="M55" s="193"/>
      <c r="N55" s="193"/>
      <c r="O55" s="193"/>
      <c r="P55" s="193"/>
      <c r="Q55" s="193"/>
      <c r="R55" s="193"/>
      <c r="S55" s="193"/>
      <c r="T55" s="193"/>
      <c r="U55" s="193"/>
      <c r="V55" s="193"/>
    </row>
    <row r="56" spans="1:22" x14ac:dyDescent="0.25">
      <c r="A56" s="193"/>
      <c r="B56" s="193"/>
      <c r="C56" s="201"/>
      <c r="D56" s="202"/>
      <c r="E56" s="202"/>
      <c r="F56" s="202"/>
      <c r="G56" s="202"/>
      <c r="H56" s="193"/>
      <c r="I56" s="191"/>
      <c r="J56" s="191"/>
      <c r="K56" s="191"/>
      <c r="L56" s="191"/>
      <c r="M56" s="191"/>
      <c r="N56" s="191"/>
      <c r="O56" s="191"/>
      <c r="P56" s="191"/>
      <c r="Q56" s="191"/>
      <c r="R56" s="191"/>
      <c r="S56" s="191"/>
      <c r="T56" s="191"/>
      <c r="U56" s="191"/>
      <c r="V56" s="191"/>
    </row>
    <row r="57" spans="1:22" x14ac:dyDescent="0.25">
      <c r="A57" s="193"/>
      <c r="B57" s="193"/>
      <c r="C57" s="201"/>
      <c r="D57" s="202"/>
      <c r="E57" s="202"/>
      <c r="F57" s="202"/>
      <c r="G57" s="202"/>
      <c r="H57" s="191"/>
      <c r="I57" s="191"/>
      <c r="J57" s="191"/>
      <c r="K57" s="191"/>
      <c r="L57" s="191"/>
      <c r="M57" s="191"/>
      <c r="N57" s="191"/>
      <c r="O57" s="191"/>
      <c r="P57" s="191"/>
      <c r="Q57" s="191"/>
      <c r="R57" s="191"/>
      <c r="S57" s="191"/>
      <c r="T57" s="191"/>
      <c r="U57" s="191"/>
      <c r="V57" s="191"/>
    </row>
    <row r="58" spans="1:22" x14ac:dyDescent="0.25">
      <c r="A58" s="193"/>
      <c r="B58" s="193"/>
      <c r="C58" s="201"/>
      <c r="D58" s="202"/>
      <c r="E58" s="202"/>
      <c r="F58" s="202"/>
      <c r="G58" s="202"/>
      <c r="H58" s="191"/>
      <c r="I58" s="191"/>
      <c r="J58" s="191"/>
      <c r="K58" s="191"/>
      <c r="L58" s="191"/>
      <c r="M58" s="191"/>
      <c r="N58" s="191"/>
      <c r="O58" s="191"/>
      <c r="P58" s="191"/>
      <c r="Q58" s="191"/>
      <c r="R58" s="191"/>
      <c r="S58" s="191"/>
      <c r="T58" s="191"/>
      <c r="U58" s="191"/>
      <c r="V58" s="191"/>
    </row>
    <row r="59" spans="1:22" x14ac:dyDescent="0.25">
      <c r="A59" s="193"/>
      <c r="B59" s="193"/>
      <c r="C59" s="201"/>
      <c r="D59" s="202"/>
      <c r="E59" s="202"/>
      <c r="F59" s="202"/>
      <c r="G59" s="202"/>
      <c r="H59" s="191"/>
      <c r="I59" s="191"/>
      <c r="J59" s="191"/>
      <c r="K59" s="191"/>
      <c r="L59" s="191"/>
      <c r="M59" s="191"/>
      <c r="N59" s="191"/>
      <c r="O59" s="191"/>
      <c r="P59" s="191"/>
      <c r="Q59" s="191"/>
      <c r="R59" s="191"/>
      <c r="S59" s="191"/>
      <c r="T59" s="191"/>
      <c r="U59" s="191"/>
      <c r="V59" s="191"/>
    </row>
    <row r="60" spans="1:22" x14ac:dyDescent="0.25">
      <c r="A60" s="193"/>
      <c r="B60" s="193"/>
      <c r="C60" s="201"/>
      <c r="D60" s="202"/>
      <c r="E60" s="202"/>
      <c r="F60" s="202"/>
      <c r="G60" s="202"/>
      <c r="H60" s="191"/>
      <c r="I60" s="191"/>
      <c r="J60" s="191"/>
      <c r="K60" s="191"/>
      <c r="L60" s="191"/>
      <c r="M60" s="191"/>
      <c r="N60" s="191"/>
      <c r="O60" s="191"/>
      <c r="P60" s="191"/>
      <c r="Q60" s="191"/>
      <c r="R60" s="191"/>
      <c r="S60" s="191"/>
      <c r="T60" s="191"/>
      <c r="U60" s="191"/>
      <c r="V60" s="191"/>
    </row>
    <row r="61" spans="1:22" x14ac:dyDescent="0.25">
      <c r="A61" s="193"/>
      <c r="B61" s="193"/>
      <c r="C61" s="201"/>
      <c r="D61" s="202"/>
      <c r="E61" s="202"/>
      <c r="F61" s="202"/>
      <c r="G61" s="202"/>
      <c r="H61" s="191"/>
      <c r="I61" s="191"/>
      <c r="J61" s="191"/>
      <c r="K61" s="191"/>
      <c r="L61" s="191"/>
      <c r="M61" s="191"/>
      <c r="N61" s="191"/>
      <c r="O61" s="191"/>
      <c r="P61" s="191"/>
      <c r="Q61" s="191"/>
      <c r="R61" s="191"/>
      <c r="S61" s="191"/>
      <c r="T61" s="191"/>
      <c r="U61" s="191"/>
      <c r="V61" s="191"/>
    </row>
    <row r="62" spans="1:22" x14ac:dyDescent="0.25">
      <c r="A62" s="193"/>
      <c r="B62" s="193"/>
      <c r="C62" s="201"/>
      <c r="D62" s="202"/>
      <c r="E62" s="202"/>
      <c r="F62" s="202"/>
      <c r="G62" s="202"/>
      <c r="H62" s="191"/>
      <c r="I62" s="191"/>
      <c r="J62" s="191"/>
      <c r="K62" s="191"/>
      <c r="L62" s="191"/>
      <c r="M62" s="191"/>
      <c r="N62" s="191"/>
      <c r="O62" s="191"/>
      <c r="P62" s="191"/>
      <c r="Q62" s="191"/>
      <c r="R62" s="191"/>
      <c r="S62" s="191"/>
      <c r="T62" s="191"/>
      <c r="U62" s="191"/>
      <c r="V62" s="191"/>
    </row>
    <row r="63" spans="1:22" x14ac:dyDescent="0.25">
      <c r="A63" s="193"/>
      <c r="B63" s="193"/>
      <c r="C63" s="201"/>
      <c r="D63" s="202"/>
      <c r="E63" s="202"/>
      <c r="F63" s="202"/>
      <c r="G63" s="202"/>
      <c r="H63" s="191"/>
      <c r="I63" s="191"/>
      <c r="J63" s="191"/>
      <c r="K63" s="191"/>
      <c r="L63" s="191"/>
      <c r="M63" s="191"/>
      <c r="N63" s="191"/>
      <c r="O63" s="191"/>
      <c r="P63" s="191"/>
      <c r="Q63" s="191"/>
      <c r="R63" s="191"/>
      <c r="S63" s="191"/>
      <c r="T63" s="191"/>
      <c r="U63" s="191"/>
      <c r="V63" s="191"/>
    </row>
    <row r="64" spans="1:22" x14ac:dyDescent="0.25">
      <c r="A64" s="193"/>
      <c r="B64" s="193"/>
      <c r="C64" s="201"/>
      <c r="D64" s="202"/>
      <c r="E64" s="202"/>
      <c r="F64" s="202"/>
      <c r="G64" s="202"/>
      <c r="H64" s="191"/>
      <c r="I64" s="191"/>
      <c r="J64" s="191"/>
      <c r="K64" s="191"/>
      <c r="L64" s="191"/>
      <c r="M64" s="191"/>
      <c r="N64" s="191"/>
      <c r="O64" s="191"/>
      <c r="P64" s="191"/>
      <c r="Q64" s="191"/>
      <c r="R64" s="191"/>
      <c r="S64" s="191"/>
      <c r="T64" s="191"/>
      <c r="U64" s="191"/>
      <c r="V64" s="191"/>
    </row>
    <row r="65" spans="1:7" x14ac:dyDescent="0.25">
      <c r="A65" s="193"/>
      <c r="B65" s="193"/>
      <c r="C65" s="201"/>
      <c r="D65" s="202"/>
      <c r="E65" s="202"/>
      <c r="F65" s="202"/>
      <c r="G65" s="202"/>
    </row>
    <row r="66" spans="1:7" x14ac:dyDescent="0.25">
      <c r="A66" s="193"/>
      <c r="B66" s="193"/>
      <c r="C66" s="201"/>
      <c r="D66" s="202"/>
      <c r="E66" s="202"/>
      <c r="F66" s="202"/>
      <c r="G66" s="202"/>
    </row>
    <row r="67" spans="1:7" x14ac:dyDescent="0.25">
      <c r="A67" s="193"/>
      <c r="B67" s="193"/>
      <c r="C67" s="201"/>
      <c r="D67" s="202"/>
      <c r="E67" s="202"/>
      <c r="F67" s="202"/>
      <c r="G67" s="202"/>
    </row>
    <row r="68" spans="1:7" x14ac:dyDescent="0.25">
      <c r="A68" s="193"/>
      <c r="B68" s="193"/>
      <c r="C68" s="201"/>
      <c r="D68" s="202"/>
      <c r="E68" s="202"/>
      <c r="F68" s="202"/>
      <c r="G68" s="202"/>
    </row>
    <row r="69" spans="1:7" x14ac:dyDescent="0.25">
      <c r="A69" s="193"/>
      <c r="B69" s="193"/>
      <c r="C69" s="201"/>
      <c r="D69" s="202"/>
      <c r="E69" s="202"/>
      <c r="F69" s="202"/>
      <c r="G69" s="202"/>
    </row>
    <row r="70" spans="1:7" x14ac:dyDescent="0.25">
      <c r="A70" s="193"/>
      <c r="B70" s="193"/>
      <c r="C70" s="191"/>
      <c r="D70" s="191"/>
      <c r="E70" s="191"/>
      <c r="F70" s="191"/>
      <c r="G70" s="191"/>
    </row>
  </sheetData>
  <mergeCells count="3">
    <mergeCell ref="C2:E2"/>
    <mergeCell ref="N5:P5"/>
    <mergeCell ref="R5:T5"/>
  </mergeCell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5:Y59"/>
  <sheetViews>
    <sheetView topLeftCell="C3" zoomScale="85" zoomScaleNormal="85" workbookViewId="0">
      <selection activeCell="J28" sqref="J28"/>
    </sheetView>
  </sheetViews>
  <sheetFormatPr defaultRowHeight="13.2" x14ac:dyDescent="0.25"/>
  <cols>
    <col min="4" max="4" width="37.44140625" customWidth="1"/>
    <col min="5" max="5" width="15.6640625" customWidth="1"/>
    <col min="9" max="9" width="13.33203125" customWidth="1"/>
    <col min="10" max="10" width="11.6640625" customWidth="1"/>
    <col min="11" max="11" width="11.44140625" customWidth="1"/>
    <col min="12" max="12" width="15" customWidth="1"/>
    <col min="13" max="13" width="13.6640625" customWidth="1"/>
  </cols>
  <sheetData>
    <row r="5" spans="3:4" x14ac:dyDescent="0.25">
      <c r="C5" s="182" t="s">
        <v>306</v>
      </c>
      <c r="D5" s="179"/>
    </row>
    <row r="7" spans="3:4" x14ac:dyDescent="0.25">
      <c r="C7" s="182" t="s">
        <v>307</v>
      </c>
      <c r="D7" s="179"/>
    </row>
    <row r="8" spans="3:4" x14ac:dyDescent="0.25">
      <c r="C8" s="182" t="s">
        <v>308</v>
      </c>
      <c r="D8" s="179"/>
    </row>
    <row r="10" spans="3:4" x14ac:dyDescent="0.25">
      <c r="C10" s="182" t="s">
        <v>309</v>
      </c>
      <c r="D10" s="179"/>
    </row>
    <row r="11" spans="3:4" x14ac:dyDescent="0.25">
      <c r="C11" s="182" t="s">
        <v>372</v>
      </c>
      <c r="D11" s="179"/>
    </row>
    <row r="12" spans="3:4" x14ac:dyDescent="0.25">
      <c r="C12" s="182" t="s">
        <v>373</v>
      </c>
      <c r="D12" s="179"/>
    </row>
    <row r="13" spans="3:4" x14ac:dyDescent="0.25">
      <c r="C13" s="182" t="s">
        <v>374</v>
      </c>
      <c r="D13" s="179"/>
    </row>
    <row r="14" spans="3:4" x14ac:dyDescent="0.25">
      <c r="C14" s="182" t="s">
        <v>320</v>
      </c>
      <c r="D14" s="182" t="s">
        <v>321</v>
      </c>
    </row>
    <row r="15" spans="3:4" ht="12" customHeight="1" x14ac:dyDescent="0.25">
      <c r="C15" s="182"/>
      <c r="D15" s="182" t="s">
        <v>323</v>
      </c>
    </row>
    <row r="16" spans="3:4" ht="12" customHeight="1" x14ac:dyDescent="0.25">
      <c r="C16" s="182"/>
      <c r="D16" s="182"/>
    </row>
    <row r="17" spans="3:13" ht="12" customHeight="1" x14ac:dyDescent="0.25">
      <c r="C17" s="182"/>
      <c r="D17" s="182"/>
      <c r="E17" s="179"/>
      <c r="F17" s="179"/>
      <c r="G17" s="179"/>
      <c r="H17" s="179"/>
      <c r="I17" s="179"/>
      <c r="J17" s="179"/>
      <c r="K17" s="179"/>
      <c r="L17" s="179"/>
      <c r="M17" s="179"/>
    </row>
    <row r="18" spans="3:13" ht="12" customHeight="1" x14ac:dyDescent="0.25">
      <c r="C18" s="182"/>
      <c r="D18" s="186" t="s">
        <v>338</v>
      </c>
      <c r="E18" s="179"/>
      <c r="F18" s="179"/>
      <c r="G18" s="179"/>
      <c r="H18" s="179"/>
      <c r="I18" s="179"/>
      <c r="J18" s="179"/>
      <c r="K18" s="179"/>
      <c r="L18" s="179"/>
      <c r="M18" s="179"/>
    </row>
    <row r="19" spans="3:13" x14ac:dyDescent="0.25">
      <c r="C19" s="182"/>
      <c r="D19" s="182" t="s">
        <v>336</v>
      </c>
      <c r="E19" s="179">
        <f>SOA!H25</f>
        <v>55</v>
      </c>
      <c r="F19" s="179"/>
      <c r="G19" s="179"/>
      <c r="H19" s="179"/>
      <c r="I19" s="179"/>
      <c r="J19" s="179"/>
      <c r="K19" s="179"/>
      <c r="L19" s="179"/>
      <c r="M19" s="179"/>
    </row>
    <row r="20" spans="3:13" x14ac:dyDescent="0.25">
      <c r="C20" s="179"/>
      <c r="D20" s="182" t="s">
        <v>318</v>
      </c>
      <c r="E20" s="179">
        <v>1.3</v>
      </c>
      <c r="F20" s="179"/>
      <c r="G20" s="179"/>
      <c r="H20" s="179"/>
      <c r="I20" s="187" t="s">
        <v>327</v>
      </c>
      <c r="J20" s="179"/>
      <c r="K20" s="185"/>
      <c r="L20" s="185"/>
      <c r="M20" s="185"/>
    </row>
    <row r="21" spans="3:13" x14ac:dyDescent="0.25">
      <c r="C21" s="179"/>
      <c r="D21" s="182" t="s">
        <v>310</v>
      </c>
      <c r="E21" s="179">
        <f>1/2*COUTMAX*VINMAX^2*0.000001</f>
        <v>1.2799999999999999E-2</v>
      </c>
      <c r="F21" s="179"/>
      <c r="G21" s="179"/>
      <c r="H21" s="179"/>
      <c r="I21" s="179"/>
      <c r="J21" s="186" t="s">
        <v>328</v>
      </c>
      <c r="K21" s="190" t="s">
        <v>329</v>
      </c>
      <c r="L21" s="190" t="s">
        <v>330</v>
      </c>
      <c r="M21" s="190" t="s">
        <v>331</v>
      </c>
    </row>
    <row r="22" spans="3:13" x14ac:dyDescent="0.25">
      <c r="C22" s="179"/>
      <c r="D22" s="182" t="s">
        <v>312</v>
      </c>
      <c r="E22" s="179">
        <f>MAX(Equations!F76-E21,0)</f>
        <v>8.5557396449704087E-2</v>
      </c>
      <c r="F22" s="179"/>
      <c r="G22" s="179"/>
      <c r="H22" s="179"/>
      <c r="I22" s="187" t="s">
        <v>332</v>
      </c>
      <c r="J22" s="183">
        <v>0.1</v>
      </c>
      <c r="K22" s="180">
        <v>1</v>
      </c>
      <c r="L22" s="185">
        <v>10</v>
      </c>
      <c r="M22" s="184">
        <v>100</v>
      </c>
    </row>
    <row r="23" spans="3:13" x14ac:dyDescent="0.25">
      <c r="C23" s="179"/>
      <c r="D23" s="182" t="s">
        <v>313</v>
      </c>
      <c r="E23" s="179">
        <f>Equations!F75</f>
        <v>2.9090909090909092</v>
      </c>
      <c r="F23" s="179"/>
      <c r="G23" s="179"/>
      <c r="H23" s="179"/>
      <c r="I23" s="183" t="s">
        <v>333</v>
      </c>
      <c r="J23" s="180">
        <v>1</v>
      </c>
      <c r="K23" s="180">
        <v>10</v>
      </c>
      <c r="L23" s="185">
        <v>100</v>
      </c>
      <c r="M23" s="184">
        <v>1000</v>
      </c>
    </row>
    <row r="24" spans="3:13" x14ac:dyDescent="0.25">
      <c r="C24" s="179"/>
      <c r="D24" s="179"/>
      <c r="E24" s="179"/>
      <c r="F24" s="179"/>
      <c r="G24" s="179"/>
      <c r="H24" s="179"/>
      <c r="I24" s="183" t="s">
        <v>147</v>
      </c>
      <c r="J24" s="180">
        <f>SOA!C33</f>
        <v>21.000000000000007</v>
      </c>
      <c r="K24" s="180">
        <f>SOA!D33</f>
        <v>21</v>
      </c>
      <c r="L24" s="180">
        <f>SOA!E33</f>
        <v>16.2</v>
      </c>
      <c r="M24" s="180">
        <f>SOA!F33</f>
        <v>15.943877551020408</v>
      </c>
    </row>
    <row r="25" spans="3:13" x14ac:dyDescent="0.25">
      <c r="C25" s="179"/>
      <c r="D25" s="179" t="s">
        <v>154</v>
      </c>
      <c r="E25" s="179">
        <f>'Design Calculator'!F65</f>
        <v>6</v>
      </c>
      <c r="F25" s="179"/>
      <c r="G25" s="179"/>
      <c r="H25" s="179"/>
      <c r="I25" s="183" t="s">
        <v>148</v>
      </c>
      <c r="J25" s="178">
        <f>SOA!C34</f>
        <v>-0.88190068792200549</v>
      </c>
      <c r="K25" s="178">
        <f>SOA!D34</f>
        <v>-0.36797678529459443</v>
      </c>
      <c r="L25" s="178">
        <f>SOA!E34</f>
        <v>-0.25527250510330607</v>
      </c>
      <c r="M25" s="178">
        <f>SOA!F34</f>
        <v>-0.25181197299379959</v>
      </c>
    </row>
    <row r="26" spans="3:13" x14ac:dyDescent="0.25">
      <c r="C26" s="179"/>
      <c r="D26" s="179" t="s">
        <v>99</v>
      </c>
      <c r="E26" s="179" t="str">
        <f>'Design Calculator'!F66</f>
        <v>Resistive</v>
      </c>
      <c r="F26" s="179"/>
      <c r="G26" s="179"/>
      <c r="H26" s="179"/>
      <c r="I26" s="179"/>
      <c r="J26" s="179"/>
      <c r="K26" s="179"/>
      <c r="L26" s="179"/>
      <c r="M26" s="179"/>
    </row>
    <row r="27" spans="3:13" x14ac:dyDescent="0.25">
      <c r="C27" s="179"/>
      <c r="D27" s="179" t="s">
        <v>100</v>
      </c>
      <c r="E27" s="179">
        <f>'Design Calculator'!F67</f>
        <v>1</v>
      </c>
      <c r="F27" s="179"/>
      <c r="G27" s="179"/>
      <c r="H27" s="179"/>
      <c r="I27" s="188" t="s">
        <v>349</v>
      </c>
      <c r="J27" s="186" t="s">
        <v>113</v>
      </c>
      <c r="K27" s="179"/>
      <c r="L27" s="179"/>
      <c r="M27" s="179"/>
    </row>
    <row r="28" spans="3:13" x14ac:dyDescent="0.25">
      <c r="C28" s="179"/>
      <c r="D28" s="179"/>
      <c r="E28" s="179"/>
      <c r="F28" s="179"/>
      <c r="G28" s="179" t="s">
        <v>347</v>
      </c>
      <c r="H28" s="179"/>
      <c r="I28" s="181">
        <f>SUM(E58:X58)</f>
        <v>12</v>
      </c>
      <c r="J28" s="181">
        <f>IF(I28=0, "NA", I28/AVERAGE(1, E32))</f>
        <v>13.662394164676858</v>
      </c>
      <c r="K28" s="179"/>
      <c r="L28" s="179"/>
      <c r="M28" s="179"/>
    </row>
    <row r="29" spans="3:13" x14ac:dyDescent="0.25">
      <c r="C29" s="179"/>
      <c r="D29" s="182" t="s">
        <v>370</v>
      </c>
      <c r="E29" s="179">
        <f>12/1</f>
        <v>12</v>
      </c>
      <c r="F29" s="179"/>
      <c r="G29" s="179" t="s">
        <v>348</v>
      </c>
      <c r="H29" s="179"/>
      <c r="I29" s="181">
        <f>SUM(E59:X59)</f>
        <v>0.31973656258309563</v>
      </c>
      <c r="J29" s="181">
        <f>IF(I29=0, "NA", I29*AVERAGE(1,E32))</f>
        <v>0.28083209317127006</v>
      </c>
      <c r="K29" s="179"/>
      <c r="L29" s="179"/>
      <c r="M29" s="179"/>
    </row>
    <row r="30" spans="3:13" x14ac:dyDescent="0.25">
      <c r="C30" s="179"/>
      <c r="D30" s="182" t="s">
        <v>371</v>
      </c>
      <c r="E30" s="179">
        <v>0.06</v>
      </c>
      <c r="F30" s="179"/>
      <c r="G30" s="179"/>
      <c r="H30" s="179"/>
      <c r="I30" s="179"/>
      <c r="J30" s="179"/>
      <c r="K30" s="179"/>
      <c r="L30" s="179"/>
      <c r="M30" s="179"/>
    </row>
    <row r="31" spans="3:13" x14ac:dyDescent="0.25">
      <c r="C31" s="179"/>
      <c r="D31" s="182" t="s">
        <v>339</v>
      </c>
      <c r="E31" s="179">
        <v>20</v>
      </c>
      <c r="F31" s="179"/>
      <c r="G31" s="179"/>
      <c r="H31" s="179"/>
      <c r="I31" s="179"/>
      <c r="J31" s="179"/>
      <c r="K31" s="179"/>
      <c r="L31" s="179"/>
      <c r="M31" s="179"/>
    </row>
    <row r="32" spans="3:13" x14ac:dyDescent="0.25">
      <c r="C32" s="179"/>
      <c r="D32" s="182" t="s">
        <v>340</v>
      </c>
      <c r="E32" s="179">
        <f>(E30/E29)^(1/(E31-1))</f>
        <v>0.75664672755894302</v>
      </c>
      <c r="F32" s="179"/>
      <c r="G32" s="179"/>
      <c r="H32" s="179"/>
      <c r="I32" s="179"/>
      <c r="J32" s="179"/>
      <c r="K32" s="179"/>
      <c r="L32" s="179"/>
      <c r="M32" s="179"/>
    </row>
    <row r="33" spans="4:24" x14ac:dyDescent="0.25">
      <c r="D33" s="182"/>
      <c r="E33" s="179"/>
      <c r="F33" s="179"/>
      <c r="G33" s="179"/>
      <c r="H33" s="179"/>
      <c r="I33" s="179"/>
      <c r="J33" s="179"/>
      <c r="K33" s="179"/>
      <c r="L33" s="179"/>
      <c r="M33" s="179"/>
      <c r="N33" s="179"/>
      <c r="O33" s="179"/>
      <c r="P33" s="179"/>
      <c r="Q33" s="179"/>
      <c r="R33" s="179"/>
      <c r="S33" s="179"/>
      <c r="T33" s="179"/>
      <c r="U33" s="179"/>
      <c r="V33" s="179"/>
      <c r="W33" s="179"/>
      <c r="X33" s="179"/>
    </row>
    <row r="34" spans="4:24" x14ac:dyDescent="0.25">
      <c r="D34" s="179"/>
      <c r="E34" s="179">
        <v>1</v>
      </c>
      <c r="F34" s="179">
        <v>2</v>
      </c>
      <c r="G34" s="179">
        <v>3</v>
      </c>
      <c r="H34" s="179">
        <v>4</v>
      </c>
      <c r="I34" s="179">
        <v>5</v>
      </c>
      <c r="J34" s="179">
        <v>6</v>
      </c>
      <c r="K34" s="179">
        <v>7</v>
      </c>
      <c r="L34" s="179">
        <v>8</v>
      </c>
      <c r="M34" s="179">
        <v>9</v>
      </c>
      <c r="N34" s="179">
        <v>10</v>
      </c>
      <c r="O34" s="179">
        <v>11</v>
      </c>
      <c r="P34" s="179">
        <v>12</v>
      </c>
      <c r="Q34" s="179">
        <v>13</v>
      </c>
      <c r="R34" s="179">
        <v>14</v>
      </c>
      <c r="S34" s="179">
        <v>15</v>
      </c>
      <c r="T34" s="179">
        <v>16</v>
      </c>
      <c r="U34" s="179">
        <v>17</v>
      </c>
      <c r="V34" s="179">
        <v>18</v>
      </c>
      <c r="W34" s="179">
        <v>19</v>
      </c>
      <c r="X34" s="179">
        <v>20</v>
      </c>
    </row>
    <row r="35" spans="4:24" x14ac:dyDescent="0.25">
      <c r="D35" s="189" t="s">
        <v>311</v>
      </c>
      <c r="E35" s="189">
        <f>E29</f>
        <v>12</v>
      </c>
      <c r="F35" s="189">
        <f t="shared" ref="F35:X35" si="0">E35*$E$32</f>
        <v>9.0797607307073172</v>
      </c>
      <c r="G35" s="189">
        <f t="shared" si="0"/>
        <v>6.8701712439078886</v>
      </c>
      <c r="H35" s="189">
        <f t="shared" si="0"/>
        <v>5.198292589472457</v>
      </c>
      <c r="I35" s="189">
        <f t="shared" si="0"/>
        <v>3.9332710767182384</v>
      </c>
      <c r="J35" s="189">
        <f t="shared" si="0"/>
        <v>2.9760966888010953</v>
      </c>
      <c r="K35" s="189">
        <f t="shared" si="0"/>
        <v>2.2518538204803549</v>
      </c>
      <c r="L35" s="189">
        <f t="shared" si="0"/>
        <v>1.7038578242075642</v>
      </c>
      <c r="M35" s="189">
        <f t="shared" si="0"/>
        <v>1.2892184469123542</v>
      </c>
      <c r="N35" s="189">
        <f t="shared" si="0"/>
        <v>0.97548291896485573</v>
      </c>
      <c r="O35" s="189">
        <f t="shared" si="0"/>
        <v>0.73809595842440368</v>
      </c>
      <c r="P35" s="189">
        <f t="shared" si="0"/>
        <v>0.55847789156630667</v>
      </c>
      <c r="Q35" s="189">
        <f t="shared" si="0"/>
        <v>0.42257046906766416</v>
      </c>
      <c r="R35" s="189">
        <f t="shared" si="0"/>
        <v>0.31973656258309563</v>
      </c>
      <c r="S35" s="189">
        <f t="shared" si="0"/>
        <v>0.24192762375944449</v>
      </c>
      <c r="T35" s="189">
        <f t="shared" si="0"/>
        <v>0.18305374482369485</v>
      </c>
      <c r="U35" s="189">
        <f t="shared" si="0"/>
        <v>0.13850701698825851</v>
      </c>
      <c r="V35" s="189">
        <f t="shared" si="0"/>
        <v>0.10480088114811673</v>
      </c>
      <c r="W35" s="189">
        <f t="shared" si="0"/>
        <v>7.929724376601624E-2</v>
      </c>
      <c r="X35" s="189">
        <f t="shared" si="0"/>
        <v>5.9999999999999984E-2</v>
      </c>
    </row>
    <row r="36" spans="4:24" x14ac:dyDescent="0.25">
      <c r="D36" s="182" t="s">
        <v>314</v>
      </c>
      <c r="E36" s="179">
        <f t="shared" ref="E36:X36" si="1">VINMAX/E35</f>
        <v>1.3333333333333333</v>
      </c>
      <c r="F36" s="179">
        <f t="shared" si="1"/>
        <v>1.7621609725781391</v>
      </c>
      <c r="G36" s="179">
        <f t="shared" si="1"/>
        <v>2.3289084699581499</v>
      </c>
      <c r="H36" s="179">
        <f t="shared" si="1"/>
        <v>3.0779337108501896</v>
      </c>
      <c r="I36" s="179">
        <f t="shared" si="1"/>
        <v>4.0678609960821079</v>
      </c>
      <c r="J36" s="179">
        <f t="shared" si="1"/>
        <v>5.3761694168765448</v>
      </c>
      <c r="K36" s="179">
        <f t="shared" si="1"/>
        <v>7.1052569462910142</v>
      </c>
      <c r="L36" s="179">
        <f t="shared" si="1"/>
        <v>9.3904548681703144</v>
      </c>
      <c r="M36" s="179">
        <f t="shared" si="1"/>
        <v>12.410619812584592</v>
      </c>
      <c r="N36" s="179">
        <f t="shared" si="1"/>
        <v>16.402132409431189</v>
      </c>
      <c r="O36" s="179">
        <f t="shared" si="1"/>
        <v>21.677398199219013</v>
      </c>
      <c r="P36" s="179">
        <f t="shared" si="1"/>
        <v>28.649298820274534</v>
      </c>
      <c r="Q36" s="179">
        <f t="shared" si="1"/>
        <v>37.863507204612532</v>
      </c>
      <c r="R36" s="179">
        <f t="shared" si="1"/>
        <v>50.041196010674554</v>
      </c>
      <c r="S36" s="179">
        <f t="shared" si="1"/>
        <v>66.135481973357685</v>
      </c>
      <c r="T36" s="179">
        <f t="shared" si="1"/>
        <v>87.406023927071971</v>
      </c>
      <c r="U36" s="179">
        <f t="shared" si="1"/>
        <v>115.51761309938794</v>
      </c>
      <c r="V36" s="179">
        <f t="shared" si="1"/>
        <v>152.67047208684198</v>
      </c>
      <c r="W36" s="179">
        <f t="shared" si="1"/>
        <v>201.77246068238486</v>
      </c>
      <c r="X36" s="179">
        <f t="shared" si="1"/>
        <v>266.66666666666674</v>
      </c>
    </row>
    <row r="37" spans="4:24" x14ac:dyDescent="0.25">
      <c r="D37" s="182" t="s">
        <v>315</v>
      </c>
      <c r="E37" s="179">
        <f t="shared" ref="E37:X37" si="2">E35*COUTMAX/1000</f>
        <v>1.2</v>
      </c>
      <c r="F37" s="179">
        <f t="shared" si="2"/>
        <v>0.90797607307073169</v>
      </c>
      <c r="G37" s="179">
        <f t="shared" si="2"/>
        <v>0.68701712439078877</v>
      </c>
      <c r="H37" s="179">
        <f t="shared" si="2"/>
        <v>0.51982925894724563</v>
      </c>
      <c r="I37" s="179">
        <f t="shared" si="2"/>
        <v>0.39332710767182383</v>
      </c>
      <c r="J37" s="179">
        <f t="shared" si="2"/>
        <v>0.29760966888010953</v>
      </c>
      <c r="K37" s="179">
        <f t="shared" si="2"/>
        <v>0.22518538204803548</v>
      </c>
      <c r="L37" s="179">
        <f t="shared" si="2"/>
        <v>0.17038578242075642</v>
      </c>
      <c r="M37" s="179">
        <f t="shared" si="2"/>
        <v>0.12892184469123544</v>
      </c>
      <c r="N37" s="179">
        <f t="shared" si="2"/>
        <v>9.7548291896485576E-2</v>
      </c>
      <c r="O37" s="179">
        <f t="shared" si="2"/>
        <v>7.3809595842440373E-2</v>
      </c>
      <c r="P37" s="179">
        <f t="shared" si="2"/>
        <v>5.5847789156630669E-2</v>
      </c>
      <c r="Q37" s="179">
        <f t="shared" si="2"/>
        <v>4.2257046906766418E-2</v>
      </c>
      <c r="R37" s="179">
        <f t="shared" si="2"/>
        <v>3.1973656258309564E-2</v>
      </c>
      <c r="S37" s="179">
        <f t="shared" si="2"/>
        <v>2.4192762375944449E-2</v>
      </c>
      <c r="T37" s="179">
        <f t="shared" si="2"/>
        <v>1.8305374482369487E-2</v>
      </c>
      <c r="U37" s="179">
        <f t="shared" si="2"/>
        <v>1.3850701698825851E-2</v>
      </c>
      <c r="V37" s="179">
        <f t="shared" si="2"/>
        <v>1.0480088114811673E-2</v>
      </c>
      <c r="W37" s="179">
        <f t="shared" si="2"/>
        <v>7.929724376601624E-3</v>
      </c>
      <c r="X37" s="179">
        <f t="shared" si="2"/>
        <v>5.9999999999999984E-3</v>
      </c>
    </row>
    <row r="38" spans="4:24" x14ac:dyDescent="0.25">
      <c r="D38" s="182" t="s">
        <v>316</v>
      </c>
      <c r="E38" s="179">
        <f t="shared" ref="E38:X38" si="3">$E$21+$E$22*E36/$E$23</f>
        <v>5.2013806706114371E-2</v>
      </c>
      <c r="F38" s="179">
        <f t="shared" si="3"/>
        <v>6.4625779822803237E-2</v>
      </c>
      <c r="G38" s="179">
        <f t="shared" si="3"/>
        <v>8.12940249328786E-2</v>
      </c>
      <c r="H38" s="179">
        <f t="shared" si="3"/>
        <v>0.10332312319363449</v>
      </c>
      <c r="I38" s="179">
        <f t="shared" si="3"/>
        <v>0.13243723610577923</v>
      </c>
      <c r="J38" s="179">
        <f t="shared" si="3"/>
        <v>0.17091505124954035</v>
      </c>
      <c r="K38" s="179">
        <f t="shared" si="3"/>
        <v>0.22176812936684925</v>
      </c>
      <c r="L38" s="179">
        <f t="shared" si="3"/>
        <v>0.28897661156219101</v>
      </c>
      <c r="M38" s="179">
        <f t="shared" si="3"/>
        <v>0.37780073482532417</v>
      </c>
      <c r="N38" s="179">
        <f t="shared" si="3"/>
        <v>0.49519253740364649</v>
      </c>
      <c r="O38" s="179">
        <f t="shared" si="3"/>
        <v>0.65033997715673464</v>
      </c>
      <c r="P38" s="179">
        <f t="shared" si="3"/>
        <v>0.85538604965296716</v>
      </c>
      <c r="Q38" s="179">
        <f t="shared" si="3"/>
        <v>1.1263791895529334</v>
      </c>
      <c r="R38" s="179">
        <f t="shared" si="3"/>
        <v>1.4845293407790301</v>
      </c>
      <c r="S38" s="179">
        <f t="shared" si="3"/>
        <v>1.9578680048892199</v>
      </c>
      <c r="T38" s="179">
        <f t="shared" si="3"/>
        <v>2.5834421954196558</v>
      </c>
      <c r="U38" s="179">
        <f t="shared" si="3"/>
        <v>3.4102140134233281</v>
      </c>
      <c r="V38" s="179">
        <f t="shared" si="3"/>
        <v>4.5028927866084887</v>
      </c>
      <c r="W38" s="179">
        <f t="shared" si="3"/>
        <v>5.9469997038620761</v>
      </c>
      <c r="X38" s="179">
        <f t="shared" si="3"/>
        <v>7.8555613412228764</v>
      </c>
    </row>
    <row r="39" spans="4:24" x14ac:dyDescent="0.25">
      <c r="D39" s="182" t="s">
        <v>319</v>
      </c>
      <c r="E39" s="179">
        <f t="shared" ref="E39:X39" si="4">(E37+IF($E$26="Resistive",0,IF($E$25=0,$E$27,0)))*VINMAX</f>
        <v>19.2</v>
      </c>
      <c r="F39" s="179">
        <f t="shared" si="4"/>
        <v>14.527617169131707</v>
      </c>
      <c r="G39" s="179">
        <f t="shared" si="4"/>
        <v>10.99227399025262</v>
      </c>
      <c r="H39" s="179">
        <f t="shared" si="4"/>
        <v>8.3172681431559301</v>
      </c>
      <c r="I39" s="179">
        <f t="shared" si="4"/>
        <v>6.2932337227491812</v>
      </c>
      <c r="J39" s="179">
        <f t="shared" si="4"/>
        <v>4.7617547020817526</v>
      </c>
      <c r="K39" s="179">
        <f t="shared" si="4"/>
        <v>3.6029661127685677</v>
      </c>
      <c r="L39" s="179">
        <f t="shared" si="4"/>
        <v>2.7261725187321026</v>
      </c>
      <c r="M39" s="179">
        <f t="shared" si="4"/>
        <v>2.062749515059767</v>
      </c>
      <c r="N39" s="179">
        <f t="shared" si="4"/>
        <v>1.5607726703437692</v>
      </c>
      <c r="O39" s="179">
        <f t="shared" si="4"/>
        <v>1.180953533479046</v>
      </c>
      <c r="P39" s="179">
        <f t="shared" si="4"/>
        <v>0.8935646265060907</v>
      </c>
      <c r="Q39" s="179">
        <f t="shared" si="4"/>
        <v>0.67611275050826269</v>
      </c>
      <c r="R39" s="179">
        <f t="shared" si="4"/>
        <v>0.51157850013295303</v>
      </c>
      <c r="S39" s="179">
        <f t="shared" si="4"/>
        <v>0.38708419801511118</v>
      </c>
      <c r="T39" s="179">
        <f t="shared" si="4"/>
        <v>0.2928859917179118</v>
      </c>
      <c r="U39" s="179">
        <f t="shared" si="4"/>
        <v>0.22161122718121362</v>
      </c>
      <c r="V39" s="179">
        <f t="shared" si="4"/>
        <v>0.16768140983698676</v>
      </c>
      <c r="W39" s="179">
        <f t="shared" si="4"/>
        <v>0.12687559002562598</v>
      </c>
      <c r="X39" s="179">
        <f t="shared" si="4"/>
        <v>9.5999999999999974E-2</v>
      </c>
    </row>
    <row r="40" spans="4:24" x14ac:dyDescent="0.25">
      <c r="D40" s="182" t="s">
        <v>317</v>
      </c>
      <c r="E40" s="179">
        <f t="shared" ref="E40:X40" si="5">(E37+IF($E$26="Resistive", $E$25/$E$27,$E$27)) *(VINMAX-$E$25)</f>
        <v>72</v>
      </c>
      <c r="F40" s="179">
        <f t="shared" si="5"/>
        <v>69.079760730707306</v>
      </c>
      <c r="G40" s="179">
        <f t="shared" si="5"/>
        <v>66.87017124390789</v>
      </c>
      <c r="H40" s="179">
        <f t="shared" si="5"/>
        <v>65.198292589472459</v>
      </c>
      <c r="I40" s="179">
        <f t="shared" si="5"/>
        <v>63.933271076718235</v>
      </c>
      <c r="J40" s="179">
        <f t="shared" si="5"/>
        <v>62.9760966888011</v>
      </c>
      <c r="K40" s="179">
        <f t="shared" si="5"/>
        <v>62.251853820480356</v>
      </c>
      <c r="L40" s="179">
        <f t="shared" si="5"/>
        <v>61.70385782420756</v>
      </c>
      <c r="M40" s="179">
        <f t="shared" si="5"/>
        <v>61.289218446912351</v>
      </c>
      <c r="N40" s="179">
        <f t="shared" si="5"/>
        <v>60.975482918964858</v>
      </c>
      <c r="O40" s="179">
        <f t="shared" si="5"/>
        <v>60.738095958424402</v>
      </c>
      <c r="P40" s="179">
        <f t="shared" si="5"/>
        <v>60.558477891566305</v>
      </c>
      <c r="Q40" s="179">
        <f t="shared" si="5"/>
        <v>60.422570469067665</v>
      </c>
      <c r="R40" s="179">
        <f t="shared" si="5"/>
        <v>60.319736562583095</v>
      </c>
      <c r="S40" s="179">
        <f t="shared" si="5"/>
        <v>60.241927623759452</v>
      </c>
      <c r="T40" s="179">
        <f t="shared" si="5"/>
        <v>60.183053744823695</v>
      </c>
      <c r="U40" s="179">
        <f t="shared" si="5"/>
        <v>60.138507016988257</v>
      </c>
      <c r="V40" s="179">
        <f t="shared" si="5"/>
        <v>60.104800881148115</v>
      </c>
      <c r="W40" s="179">
        <f t="shared" si="5"/>
        <v>60.079297243766014</v>
      </c>
      <c r="X40" s="179">
        <f t="shared" si="5"/>
        <v>60.06</v>
      </c>
    </row>
    <row r="41" spans="4:24" x14ac:dyDescent="0.25">
      <c r="D41" s="182" t="s">
        <v>322</v>
      </c>
      <c r="E41" s="179">
        <f t="shared" ref="E41:X41" si="6">IF($E$26="Resistive", -$E$27*E37/2 + VINMAX/2, -1)</f>
        <v>7.4</v>
      </c>
      <c r="F41" s="179">
        <f t="shared" si="6"/>
        <v>7.5460119634646343</v>
      </c>
      <c r="G41" s="179">
        <f t="shared" si="6"/>
        <v>7.6564914378046058</v>
      </c>
      <c r="H41" s="179">
        <f t="shared" si="6"/>
        <v>7.7400853705263772</v>
      </c>
      <c r="I41" s="179">
        <f t="shared" si="6"/>
        <v>7.8033364461640877</v>
      </c>
      <c r="J41" s="179">
        <f t="shared" si="6"/>
        <v>7.851195165559945</v>
      </c>
      <c r="K41" s="179">
        <f t="shared" si="6"/>
        <v>7.8874073089759822</v>
      </c>
      <c r="L41" s="179">
        <f t="shared" si="6"/>
        <v>7.9148071087896215</v>
      </c>
      <c r="M41" s="179">
        <f t="shared" si="6"/>
        <v>7.9355390776543819</v>
      </c>
      <c r="N41" s="179">
        <f t="shared" si="6"/>
        <v>7.9512258540517573</v>
      </c>
      <c r="O41" s="179">
        <f t="shared" si="6"/>
        <v>7.9630952020787795</v>
      </c>
      <c r="P41" s="179">
        <f t="shared" si="6"/>
        <v>7.9720761054216851</v>
      </c>
      <c r="Q41" s="179">
        <f t="shared" si="6"/>
        <v>7.9788714765466171</v>
      </c>
      <c r="R41" s="179">
        <f t="shared" si="6"/>
        <v>7.9840131718708456</v>
      </c>
      <c r="S41" s="179">
        <f t="shared" si="6"/>
        <v>7.9879036188120276</v>
      </c>
      <c r="T41" s="179">
        <f t="shared" si="6"/>
        <v>7.9908473127588149</v>
      </c>
      <c r="U41" s="179">
        <f t="shared" si="6"/>
        <v>7.9930746491505875</v>
      </c>
      <c r="V41" s="179">
        <f t="shared" si="6"/>
        <v>7.9947599559425946</v>
      </c>
      <c r="W41" s="179">
        <f t="shared" si="6"/>
        <v>7.9960351378116989</v>
      </c>
      <c r="X41" s="179">
        <f t="shared" si="6"/>
        <v>7.9969999999999999</v>
      </c>
    </row>
    <row r="42" spans="4:24" x14ac:dyDescent="0.25">
      <c r="D42" s="182" t="s">
        <v>324</v>
      </c>
      <c r="E42" s="179">
        <f t="shared" ref="E42:X42" si="7">IF(AND(E41&lt;VINMAX, E41&gt;$E$25), (VINMAX-E41)*(E37+E41/$E$27), 0)</f>
        <v>73.959999999999994</v>
      </c>
      <c r="F42" s="179">
        <f t="shared" si="7"/>
        <v>71.469913721883088</v>
      </c>
      <c r="G42" s="179">
        <f t="shared" si="7"/>
        <v>69.614135127427858</v>
      </c>
      <c r="H42" s="179">
        <f t="shared" si="7"/>
        <v>68.226189686192384</v>
      </c>
      <c r="I42" s="179">
        <f t="shared" si="7"/>
        <v>67.185293414781952</v>
      </c>
      <c r="J42" s="179">
        <f t="shared" si="7"/>
        <v>66.403020229793611</v>
      </c>
      <c r="K42" s="179">
        <f t="shared" si="7"/>
        <v>65.814160170456319</v>
      </c>
      <c r="L42" s="179">
        <f t="shared" si="7"/>
        <v>65.370344088078838</v>
      </c>
      <c r="M42" s="179">
        <f t="shared" si="7"/>
        <v>65.035529968039526</v>
      </c>
      <c r="N42" s="179">
        <f t="shared" si="7"/>
        <v>64.782765252484879</v>
      </c>
      <c r="O42" s="179">
        <f t="shared" si="7"/>
        <v>64.591838730849133</v>
      </c>
      <c r="P42" s="179">
        <f t="shared" si="7"/>
        <v>64.447562057141454</v>
      </c>
      <c r="Q42" s="179">
        <f t="shared" si="7"/>
        <v>64.338502789757442</v>
      </c>
      <c r="R42" s="179">
        <f t="shared" si="7"/>
        <v>64.256044828740102</v>
      </c>
      <c r="S42" s="179">
        <f t="shared" si="7"/>
        <v>64.193688421445401</v>
      </c>
      <c r="T42" s="179">
        <f t="shared" si="7"/>
        <v>64.146526767542696</v>
      </c>
      <c r="U42" s="179">
        <f t="shared" si="7"/>
        <v>64.110853574074994</v>
      </c>
      <c r="V42" s="179">
        <f t="shared" si="7"/>
        <v>64.08386816298021</v>
      </c>
      <c r="W42" s="179">
        <f t="shared" si="7"/>
        <v>64.063453515144985</v>
      </c>
      <c r="X42" s="179">
        <f t="shared" si="7"/>
        <v>64.048009000000008</v>
      </c>
    </row>
    <row r="44" spans="4:24" x14ac:dyDescent="0.25">
      <c r="D44" s="182" t="s">
        <v>325</v>
      </c>
      <c r="E44" s="179">
        <f t="shared" ref="E44:X44" si="8">MAX(E39,E40,E42)</f>
        <v>73.959999999999994</v>
      </c>
      <c r="F44" s="179">
        <f t="shared" si="8"/>
        <v>71.469913721883088</v>
      </c>
      <c r="G44" s="179">
        <f t="shared" si="8"/>
        <v>69.614135127427858</v>
      </c>
      <c r="H44" s="179">
        <f t="shared" si="8"/>
        <v>68.226189686192384</v>
      </c>
      <c r="I44" s="179">
        <f t="shared" si="8"/>
        <v>67.185293414781952</v>
      </c>
      <c r="J44" s="179">
        <f t="shared" si="8"/>
        <v>66.403020229793611</v>
      </c>
      <c r="K44" s="179">
        <f t="shared" si="8"/>
        <v>65.814160170456319</v>
      </c>
      <c r="L44" s="179">
        <f t="shared" si="8"/>
        <v>65.370344088078838</v>
      </c>
      <c r="M44" s="179">
        <f t="shared" si="8"/>
        <v>65.035529968039526</v>
      </c>
      <c r="N44" s="179">
        <f t="shared" si="8"/>
        <v>64.782765252484879</v>
      </c>
      <c r="O44" s="179">
        <f t="shared" si="8"/>
        <v>64.591838730849133</v>
      </c>
      <c r="P44" s="179">
        <f t="shared" si="8"/>
        <v>64.447562057141454</v>
      </c>
      <c r="Q44" s="179">
        <f t="shared" si="8"/>
        <v>64.338502789757442</v>
      </c>
      <c r="R44" s="179">
        <f t="shared" si="8"/>
        <v>64.256044828740102</v>
      </c>
      <c r="S44" s="179">
        <f t="shared" si="8"/>
        <v>64.193688421445401</v>
      </c>
      <c r="T44" s="179">
        <f t="shared" si="8"/>
        <v>64.146526767542696</v>
      </c>
      <c r="U44" s="179">
        <f t="shared" si="8"/>
        <v>64.110853574074994</v>
      </c>
      <c r="V44" s="179">
        <f t="shared" si="8"/>
        <v>64.08386816298021</v>
      </c>
      <c r="W44" s="179">
        <f t="shared" si="8"/>
        <v>64.063453515144985</v>
      </c>
      <c r="X44" s="179">
        <f t="shared" si="8"/>
        <v>64.048009000000008</v>
      </c>
    </row>
    <row r="45" spans="4:24" x14ac:dyDescent="0.25">
      <c r="D45" s="182" t="s">
        <v>326</v>
      </c>
      <c r="E45" s="179">
        <f t="shared" ref="E45:X45" si="9">E38/E44*1000</f>
        <v>0.70326942544773352</v>
      </c>
      <c r="F45" s="179">
        <f t="shared" si="9"/>
        <v>0.90423755196189259</v>
      </c>
      <c r="G45" s="179">
        <f t="shared" si="9"/>
        <v>1.1677804340177587</v>
      </c>
      <c r="H45" s="179">
        <f t="shared" si="9"/>
        <v>1.5144202493041323</v>
      </c>
      <c r="I45" s="179">
        <f t="shared" si="9"/>
        <v>1.9712236022867571</v>
      </c>
      <c r="J45" s="179">
        <f t="shared" si="9"/>
        <v>2.5739047811089537</v>
      </c>
      <c r="K45" s="179">
        <f t="shared" si="9"/>
        <v>3.3696111717064801</v>
      </c>
      <c r="L45" s="179">
        <f t="shared" si="9"/>
        <v>4.4206071666508144</v>
      </c>
      <c r="M45" s="179">
        <f t="shared" si="9"/>
        <v>5.8091436328878556</v>
      </c>
      <c r="N45" s="179">
        <f t="shared" si="9"/>
        <v>7.6438931785896926</v>
      </c>
      <c r="O45" s="179">
        <f t="shared" si="9"/>
        <v>10.068454311490774</v>
      </c>
      <c r="P45" s="179">
        <f t="shared" si="9"/>
        <v>13.272589720221722</v>
      </c>
      <c r="Q45" s="179">
        <f t="shared" si="9"/>
        <v>17.507078043666425</v>
      </c>
      <c r="R45" s="179">
        <f t="shared" si="9"/>
        <v>23.10334140135307</v>
      </c>
      <c r="S45" s="179">
        <f t="shared" si="9"/>
        <v>30.499384799879302</v>
      </c>
      <c r="T45" s="179">
        <f t="shared" si="9"/>
        <v>40.274077578380187</v>
      </c>
      <c r="U45" s="179">
        <f t="shared" si="9"/>
        <v>53.192459986250178</v>
      </c>
      <c r="V45" s="179">
        <f t="shared" si="9"/>
        <v>70.265620907224005</v>
      </c>
      <c r="W45" s="179">
        <f t="shared" si="9"/>
        <v>92.82983319742776</v>
      </c>
      <c r="X45" s="179">
        <f t="shared" si="9"/>
        <v>122.65114035352568</v>
      </c>
    </row>
    <row r="47" spans="4:24" x14ac:dyDescent="0.25">
      <c r="D47" s="182" t="s">
        <v>147</v>
      </c>
      <c r="E47" s="179">
        <f t="shared" ref="E47:X47" si="10">IF(E45&lt;$J$23,$J$24,IF(E45&lt;$K$23,$K$24,IF(E45&lt;$L$23,$L$24,$M$24)))</f>
        <v>21.000000000000007</v>
      </c>
      <c r="F47" s="179">
        <f t="shared" si="10"/>
        <v>21.000000000000007</v>
      </c>
      <c r="G47" s="179">
        <f t="shared" si="10"/>
        <v>21</v>
      </c>
      <c r="H47" s="179">
        <f t="shared" si="10"/>
        <v>21</v>
      </c>
      <c r="I47" s="179">
        <f t="shared" si="10"/>
        <v>21</v>
      </c>
      <c r="J47" s="179">
        <f t="shared" si="10"/>
        <v>21</v>
      </c>
      <c r="K47" s="179">
        <f t="shared" si="10"/>
        <v>21</v>
      </c>
      <c r="L47" s="179">
        <f t="shared" si="10"/>
        <v>21</v>
      </c>
      <c r="M47" s="179">
        <f t="shared" si="10"/>
        <v>21</v>
      </c>
      <c r="N47" s="179">
        <f t="shared" si="10"/>
        <v>21</v>
      </c>
      <c r="O47" s="179">
        <f t="shared" si="10"/>
        <v>16.2</v>
      </c>
      <c r="P47" s="179">
        <f t="shared" si="10"/>
        <v>16.2</v>
      </c>
      <c r="Q47" s="179">
        <f t="shared" si="10"/>
        <v>16.2</v>
      </c>
      <c r="R47" s="179">
        <f t="shared" si="10"/>
        <v>16.2</v>
      </c>
      <c r="S47" s="179">
        <f t="shared" si="10"/>
        <v>16.2</v>
      </c>
      <c r="T47" s="179">
        <f t="shared" si="10"/>
        <v>16.2</v>
      </c>
      <c r="U47" s="179">
        <f t="shared" si="10"/>
        <v>16.2</v>
      </c>
      <c r="V47" s="179">
        <f t="shared" si="10"/>
        <v>16.2</v>
      </c>
      <c r="W47" s="179">
        <f t="shared" si="10"/>
        <v>16.2</v>
      </c>
      <c r="X47" s="179">
        <f t="shared" si="10"/>
        <v>15.943877551020408</v>
      </c>
    </row>
    <row r="48" spans="4:24" x14ac:dyDescent="0.25">
      <c r="D48" s="182" t="s">
        <v>148</v>
      </c>
      <c r="E48" s="179">
        <f t="shared" ref="E48:X48" si="11">IF(E45&lt;$J$23,$J$25,IF(E45&lt;$K$23,$K$25,IF(E45&lt;$L$23,$L$25,$M$25)))</f>
        <v>-0.88190068792200549</v>
      </c>
      <c r="F48" s="179">
        <f t="shared" si="11"/>
        <v>-0.88190068792200549</v>
      </c>
      <c r="G48" s="179">
        <f t="shared" si="11"/>
        <v>-0.36797678529459443</v>
      </c>
      <c r="H48" s="179">
        <f t="shared" si="11"/>
        <v>-0.36797678529459443</v>
      </c>
      <c r="I48" s="179">
        <f t="shared" si="11"/>
        <v>-0.36797678529459443</v>
      </c>
      <c r="J48" s="179">
        <f t="shared" si="11"/>
        <v>-0.36797678529459443</v>
      </c>
      <c r="K48" s="179">
        <f t="shared" si="11"/>
        <v>-0.36797678529459443</v>
      </c>
      <c r="L48" s="179">
        <f t="shared" si="11"/>
        <v>-0.36797678529459443</v>
      </c>
      <c r="M48" s="179">
        <f t="shared" si="11"/>
        <v>-0.36797678529459443</v>
      </c>
      <c r="N48" s="179">
        <f t="shared" si="11"/>
        <v>-0.36797678529459443</v>
      </c>
      <c r="O48" s="179">
        <f t="shared" si="11"/>
        <v>-0.25527250510330607</v>
      </c>
      <c r="P48" s="179">
        <f t="shared" si="11"/>
        <v>-0.25527250510330607</v>
      </c>
      <c r="Q48" s="179">
        <f t="shared" si="11"/>
        <v>-0.25527250510330607</v>
      </c>
      <c r="R48" s="179">
        <f t="shared" si="11"/>
        <v>-0.25527250510330607</v>
      </c>
      <c r="S48" s="179">
        <f t="shared" si="11"/>
        <v>-0.25527250510330607</v>
      </c>
      <c r="T48" s="179">
        <f t="shared" si="11"/>
        <v>-0.25527250510330607</v>
      </c>
      <c r="U48" s="179">
        <f t="shared" si="11"/>
        <v>-0.25527250510330607</v>
      </c>
      <c r="V48" s="179">
        <f t="shared" si="11"/>
        <v>-0.25527250510330607</v>
      </c>
      <c r="W48" s="179">
        <f t="shared" si="11"/>
        <v>-0.25527250510330607</v>
      </c>
      <c r="X48" s="179">
        <f t="shared" si="11"/>
        <v>-0.25181197299379959</v>
      </c>
    </row>
    <row r="50" spans="4:25" x14ac:dyDescent="0.25">
      <c r="D50" s="182" t="s">
        <v>334</v>
      </c>
      <c r="E50" s="179">
        <f t="shared" ref="E50:X50" si="12">E47*E45^E48*VINMAX</f>
        <v>458.31357685928117</v>
      </c>
      <c r="F50" s="179">
        <f t="shared" si="12"/>
        <v>367.19244455620952</v>
      </c>
      <c r="G50" s="179">
        <f t="shared" si="12"/>
        <v>317.35980572371483</v>
      </c>
      <c r="H50" s="179">
        <f t="shared" si="12"/>
        <v>288.41163970109392</v>
      </c>
      <c r="I50" s="179">
        <f t="shared" si="12"/>
        <v>261.74796380441779</v>
      </c>
      <c r="J50" s="179">
        <f t="shared" si="12"/>
        <v>237.27434204512079</v>
      </c>
      <c r="K50" s="179">
        <f t="shared" si="12"/>
        <v>214.88305141711874</v>
      </c>
      <c r="L50" s="179">
        <f t="shared" si="12"/>
        <v>194.45401479705311</v>
      </c>
      <c r="M50" s="179">
        <f t="shared" si="12"/>
        <v>175.85865927517929</v>
      </c>
      <c r="N50" s="179">
        <f t="shared" si="12"/>
        <v>158.96444827703368</v>
      </c>
      <c r="O50" s="179">
        <f t="shared" si="12"/>
        <v>143.749442741325</v>
      </c>
      <c r="P50" s="179">
        <f t="shared" si="12"/>
        <v>133.96004669626814</v>
      </c>
      <c r="Q50" s="179">
        <f t="shared" si="12"/>
        <v>124.8178592851487</v>
      </c>
      <c r="R50" s="179">
        <f t="shared" si="12"/>
        <v>116.2857011806398</v>
      </c>
      <c r="S50" s="179">
        <f t="shared" si="12"/>
        <v>108.32689501000006</v>
      </c>
      <c r="T50" s="179">
        <f t="shared" si="12"/>
        <v>100.90579094459845</v>
      </c>
      <c r="U50" s="179">
        <f t="shared" si="12"/>
        <v>93.98811183627241</v>
      </c>
      <c r="V50" s="179">
        <f t="shared" si="12"/>
        <v>87.541163368554365</v>
      </c>
      <c r="W50" s="179">
        <f t="shared" si="12"/>
        <v>81.533946099645505</v>
      </c>
      <c r="X50" s="179">
        <f t="shared" si="12"/>
        <v>75.990870383596985</v>
      </c>
      <c r="Y50" s="179"/>
    </row>
    <row r="51" spans="4:25" x14ac:dyDescent="0.25">
      <c r="D51" s="182" t="s">
        <v>335</v>
      </c>
      <c r="E51" s="179">
        <f t="shared" ref="E51:X51" si="13">E50*(TJMAX-$E$19)/(TJMAX - 25)</f>
        <v>348.3183184130537</v>
      </c>
      <c r="F51" s="179">
        <f t="shared" si="13"/>
        <v>279.06625786271923</v>
      </c>
      <c r="G51" s="179">
        <f t="shared" si="13"/>
        <v>241.19345235002325</v>
      </c>
      <c r="H51" s="179">
        <f t="shared" si="13"/>
        <v>219.19284617283137</v>
      </c>
      <c r="I51" s="179">
        <f t="shared" si="13"/>
        <v>198.92845249135752</v>
      </c>
      <c r="J51" s="179">
        <f t="shared" si="13"/>
        <v>180.3284999542918</v>
      </c>
      <c r="K51" s="179">
        <f t="shared" si="13"/>
        <v>163.31111907701023</v>
      </c>
      <c r="L51" s="179">
        <f t="shared" si="13"/>
        <v>147.78505124576034</v>
      </c>
      <c r="M51" s="179">
        <f t="shared" si="13"/>
        <v>133.65258104913627</v>
      </c>
      <c r="N51" s="179">
        <f t="shared" si="13"/>
        <v>120.81298069054559</v>
      </c>
      <c r="O51" s="179">
        <f t="shared" si="13"/>
        <v>109.249576483407</v>
      </c>
      <c r="P51" s="179">
        <f t="shared" si="13"/>
        <v>101.8096354891638</v>
      </c>
      <c r="Q51" s="179">
        <f t="shared" si="13"/>
        <v>94.861573056713013</v>
      </c>
      <c r="R51" s="179">
        <f t="shared" si="13"/>
        <v>88.377132897286259</v>
      </c>
      <c r="S51" s="179">
        <f t="shared" si="13"/>
        <v>82.328440207600039</v>
      </c>
      <c r="T51" s="179">
        <f t="shared" si="13"/>
        <v>76.688401117894827</v>
      </c>
      <c r="U51" s="179">
        <f t="shared" si="13"/>
        <v>71.430964995567038</v>
      </c>
      <c r="V51" s="179">
        <f t="shared" si="13"/>
        <v>66.531284160101322</v>
      </c>
      <c r="W51" s="179">
        <f t="shared" si="13"/>
        <v>61.965799035730583</v>
      </c>
      <c r="X51" s="179">
        <f t="shared" si="13"/>
        <v>57.753061491533707</v>
      </c>
      <c r="Y51" s="179"/>
    </row>
    <row r="52" spans="4:25" x14ac:dyDescent="0.25">
      <c r="D52" s="182" t="s">
        <v>337</v>
      </c>
      <c r="E52" s="179">
        <f t="shared" ref="E52:X52" si="14">E51/E44</f>
        <v>4.7095500055848261</v>
      </c>
      <c r="F52" s="179">
        <f t="shared" si="14"/>
        <v>3.9046676192820566</v>
      </c>
      <c r="G52" s="179">
        <f t="shared" si="14"/>
        <v>3.4647195129052664</v>
      </c>
      <c r="H52" s="179">
        <f t="shared" si="14"/>
        <v>3.2127376185158938</v>
      </c>
      <c r="I52" s="179">
        <f t="shared" si="14"/>
        <v>2.960892814194211</v>
      </c>
      <c r="J52" s="179">
        <f t="shared" si="14"/>
        <v>2.7156671387874955</v>
      </c>
      <c r="K52" s="179">
        <f t="shared" si="14"/>
        <v>2.4813979036432325</v>
      </c>
      <c r="L52" s="179">
        <f t="shared" si="14"/>
        <v>2.2607354039109446</v>
      </c>
      <c r="M52" s="179">
        <f t="shared" si="14"/>
        <v>2.0550702226124287</v>
      </c>
      <c r="N52" s="179">
        <f t="shared" si="14"/>
        <v>1.8648938528586745</v>
      </c>
      <c r="O52" s="179">
        <f t="shared" si="14"/>
        <v>1.6913835962875179</v>
      </c>
      <c r="P52" s="179">
        <f t="shared" si="14"/>
        <v>1.5797282665075185</v>
      </c>
      <c r="Q52" s="179">
        <f t="shared" si="14"/>
        <v>1.4744137482760133</v>
      </c>
      <c r="R52" s="179">
        <f t="shared" si="14"/>
        <v>1.3753901774196566</v>
      </c>
      <c r="S52" s="179">
        <f t="shared" si="14"/>
        <v>1.2825005422199156</v>
      </c>
      <c r="T52" s="179">
        <f t="shared" si="14"/>
        <v>1.1955191493968487</v>
      </c>
      <c r="U52" s="179">
        <f t="shared" si="14"/>
        <v>1.1141789730351077</v>
      </c>
      <c r="V52" s="179">
        <f t="shared" si="14"/>
        <v>1.0381908281643792</v>
      </c>
      <c r="W52" s="179">
        <f t="shared" si="14"/>
        <v>0.96725661255651008</v>
      </c>
      <c r="X52" s="179">
        <f t="shared" si="14"/>
        <v>0.90171517262205136</v>
      </c>
      <c r="Y52" s="179"/>
    </row>
    <row r="54" spans="4:25" x14ac:dyDescent="0.25">
      <c r="D54" s="182" t="s">
        <v>341</v>
      </c>
      <c r="E54" s="179" t="str">
        <f t="shared" ref="E54:X54" si="15">IF(E52&gt;$E$20, "Y", "N")</f>
        <v>Y</v>
      </c>
      <c r="F54" s="179" t="str">
        <f t="shared" si="15"/>
        <v>Y</v>
      </c>
      <c r="G54" s="179" t="str">
        <f t="shared" si="15"/>
        <v>Y</v>
      </c>
      <c r="H54" s="179" t="str">
        <f t="shared" si="15"/>
        <v>Y</v>
      </c>
      <c r="I54" s="179" t="str">
        <f t="shared" si="15"/>
        <v>Y</v>
      </c>
      <c r="J54" s="179" t="str">
        <f t="shared" si="15"/>
        <v>Y</v>
      </c>
      <c r="K54" s="179" t="str">
        <f t="shared" si="15"/>
        <v>Y</v>
      </c>
      <c r="L54" s="179" t="str">
        <f t="shared" si="15"/>
        <v>Y</v>
      </c>
      <c r="M54" s="179" t="str">
        <f t="shared" si="15"/>
        <v>Y</v>
      </c>
      <c r="N54" s="179" t="str">
        <f t="shared" si="15"/>
        <v>Y</v>
      </c>
      <c r="O54" s="179" t="str">
        <f t="shared" si="15"/>
        <v>Y</v>
      </c>
      <c r="P54" s="179" t="str">
        <f t="shared" si="15"/>
        <v>Y</v>
      </c>
      <c r="Q54" s="179" t="str">
        <f t="shared" si="15"/>
        <v>Y</v>
      </c>
      <c r="R54" s="179" t="str">
        <f t="shared" si="15"/>
        <v>Y</v>
      </c>
      <c r="S54" s="179" t="str">
        <f t="shared" si="15"/>
        <v>N</v>
      </c>
      <c r="T54" s="179" t="str">
        <f t="shared" si="15"/>
        <v>N</v>
      </c>
      <c r="U54" s="179" t="str">
        <f t="shared" si="15"/>
        <v>N</v>
      </c>
      <c r="V54" s="179" t="str">
        <f t="shared" si="15"/>
        <v>N</v>
      </c>
      <c r="W54" s="179" t="str">
        <f t="shared" si="15"/>
        <v>N</v>
      </c>
      <c r="X54" s="179" t="str">
        <f t="shared" si="15"/>
        <v>N</v>
      </c>
      <c r="Y54" s="179" t="s">
        <v>344</v>
      </c>
    </row>
    <row r="55" spans="4:25" x14ac:dyDescent="0.25">
      <c r="D55" s="182" t="s">
        <v>342</v>
      </c>
      <c r="E55" s="179">
        <f>IF(E54="Y", 1, 0)</f>
        <v>1</v>
      </c>
      <c r="F55" s="179">
        <f t="shared" ref="F55:X55" si="16">IF(AND(F54="Y", E54="N"),  1, 0)</f>
        <v>0</v>
      </c>
      <c r="G55" s="179">
        <f t="shared" si="16"/>
        <v>0</v>
      </c>
      <c r="H55" s="179">
        <f t="shared" si="16"/>
        <v>0</v>
      </c>
      <c r="I55" s="179">
        <f t="shared" si="16"/>
        <v>0</v>
      </c>
      <c r="J55" s="179">
        <f t="shared" si="16"/>
        <v>0</v>
      </c>
      <c r="K55" s="179">
        <f t="shared" si="16"/>
        <v>0</v>
      </c>
      <c r="L55" s="179">
        <f t="shared" si="16"/>
        <v>0</v>
      </c>
      <c r="M55" s="179">
        <f t="shared" si="16"/>
        <v>0</v>
      </c>
      <c r="N55" s="179">
        <f t="shared" si="16"/>
        <v>0</v>
      </c>
      <c r="O55" s="179">
        <f t="shared" si="16"/>
        <v>0</v>
      </c>
      <c r="P55" s="179">
        <f t="shared" si="16"/>
        <v>0</v>
      </c>
      <c r="Q55" s="179">
        <f t="shared" si="16"/>
        <v>0</v>
      </c>
      <c r="R55" s="179">
        <f t="shared" si="16"/>
        <v>0</v>
      </c>
      <c r="S55" s="179">
        <f t="shared" si="16"/>
        <v>0</v>
      </c>
      <c r="T55" s="179">
        <f t="shared" si="16"/>
        <v>0</v>
      </c>
      <c r="U55" s="179">
        <f t="shared" si="16"/>
        <v>0</v>
      </c>
      <c r="V55" s="179">
        <f t="shared" si="16"/>
        <v>0</v>
      </c>
      <c r="W55" s="179">
        <f t="shared" si="16"/>
        <v>0</v>
      </c>
      <c r="X55" s="179">
        <f t="shared" si="16"/>
        <v>0</v>
      </c>
      <c r="Y55" s="179"/>
    </row>
    <row r="56" spans="4:25" x14ac:dyDescent="0.25">
      <c r="D56" s="182" t="s">
        <v>343</v>
      </c>
      <c r="E56" s="179">
        <v>0</v>
      </c>
      <c r="F56" s="179">
        <f t="shared" ref="F56:X56" si="17">IF(AND(F54="Y", G54="N"),  1, 0)</f>
        <v>0</v>
      </c>
      <c r="G56" s="179">
        <f t="shared" si="17"/>
        <v>0</v>
      </c>
      <c r="H56" s="179">
        <f t="shared" si="17"/>
        <v>0</v>
      </c>
      <c r="I56" s="179">
        <f t="shared" si="17"/>
        <v>0</v>
      </c>
      <c r="J56" s="179">
        <f t="shared" si="17"/>
        <v>0</v>
      </c>
      <c r="K56" s="179">
        <f t="shared" si="17"/>
        <v>0</v>
      </c>
      <c r="L56" s="179">
        <f t="shared" si="17"/>
        <v>0</v>
      </c>
      <c r="M56" s="179">
        <f t="shared" si="17"/>
        <v>0</v>
      </c>
      <c r="N56" s="179">
        <f t="shared" si="17"/>
        <v>0</v>
      </c>
      <c r="O56" s="179">
        <f t="shared" si="17"/>
        <v>0</v>
      </c>
      <c r="P56" s="179">
        <f t="shared" si="17"/>
        <v>0</v>
      </c>
      <c r="Q56" s="179">
        <f t="shared" si="17"/>
        <v>0</v>
      </c>
      <c r="R56" s="179">
        <f t="shared" si="17"/>
        <v>1</v>
      </c>
      <c r="S56" s="179">
        <f t="shared" si="17"/>
        <v>0</v>
      </c>
      <c r="T56" s="179">
        <f t="shared" si="17"/>
        <v>0</v>
      </c>
      <c r="U56" s="179">
        <f t="shared" si="17"/>
        <v>0</v>
      </c>
      <c r="V56" s="179">
        <f t="shared" si="17"/>
        <v>0</v>
      </c>
      <c r="W56" s="179">
        <f t="shared" si="17"/>
        <v>0</v>
      </c>
      <c r="X56" s="179">
        <f t="shared" si="17"/>
        <v>0</v>
      </c>
      <c r="Y56" s="179"/>
    </row>
    <row r="58" spans="4:25" x14ac:dyDescent="0.25">
      <c r="D58" s="179" t="s">
        <v>345</v>
      </c>
      <c r="E58" s="179">
        <f t="shared" ref="E58:X58" si="18">E55*E35</f>
        <v>12</v>
      </c>
      <c r="F58" s="179">
        <f t="shared" si="18"/>
        <v>0</v>
      </c>
      <c r="G58" s="179">
        <f t="shared" si="18"/>
        <v>0</v>
      </c>
      <c r="H58" s="179">
        <f t="shared" si="18"/>
        <v>0</v>
      </c>
      <c r="I58" s="179">
        <f t="shared" si="18"/>
        <v>0</v>
      </c>
      <c r="J58" s="179">
        <f t="shared" si="18"/>
        <v>0</v>
      </c>
      <c r="K58" s="179">
        <f t="shared" si="18"/>
        <v>0</v>
      </c>
      <c r="L58" s="179">
        <f t="shared" si="18"/>
        <v>0</v>
      </c>
      <c r="M58" s="179">
        <f t="shared" si="18"/>
        <v>0</v>
      </c>
      <c r="N58" s="179">
        <f t="shared" si="18"/>
        <v>0</v>
      </c>
      <c r="O58" s="179">
        <f t="shared" si="18"/>
        <v>0</v>
      </c>
      <c r="P58" s="179">
        <f t="shared" si="18"/>
        <v>0</v>
      </c>
      <c r="Q58" s="179">
        <f t="shared" si="18"/>
        <v>0</v>
      </c>
      <c r="R58" s="179">
        <f t="shared" si="18"/>
        <v>0</v>
      </c>
      <c r="S58" s="179">
        <f t="shared" si="18"/>
        <v>0</v>
      </c>
      <c r="T58" s="179">
        <f t="shared" si="18"/>
        <v>0</v>
      </c>
      <c r="U58" s="179">
        <f t="shared" si="18"/>
        <v>0</v>
      </c>
      <c r="V58" s="179">
        <f t="shared" si="18"/>
        <v>0</v>
      </c>
      <c r="W58" s="179">
        <f t="shared" si="18"/>
        <v>0</v>
      </c>
      <c r="X58" s="179">
        <f t="shared" si="18"/>
        <v>0</v>
      </c>
      <c r="Y58" s="179"/>
    </row>
    <row r="59" spans="4:25" x14ac:dyDescent="0.25">
      <c r="D59" s="179" t="s">
        <v>346</v>
      </c>
      <c r="E59" s="179">
        <f t="shared" ref="E59:X59" si="19">E35*E56</f>
        <v>0</v>
      </c>
      <c r="F59" s="179">
        <f t="shared" si="19"/>
        <v>0</v>
      </c>
      <c r="G59" s="179">
        <f t="shared" si="19"/>
        <v>0</v>
      </c>
      <c r="H59" s="179">
        <f t="shared" si="19"/>
        <v>0</v>
      </c>
      <c r="I59" s="179">
        <f t="shared" si="19"/>
        <v>0</v>
      </c>
      <c r="J59" s="179">
        <f t="shared" si="19"/>
        <v>0</v>
      </c>
      <c r="K59" s="179">
        <f t="shared" si="19"/>
        <v>0</v>
      </c>
      <c r="L59" s="179">
        <f t="shared" si="19"/>
        <v>0</v>
      </c>
      <c r="M59" s="179">
        <f t="shared" si="19"/>
        <v>0</v>
      </c>
      <c r="N59" s="179">
        <f t="shared" si="19"/>
        <v>0</v>
      </c>
      <c r="O59" s="179">
        <f t="shared" si="19"/>
        <v>0</v>
      </c>
      <c r="P59" s="179">
        <f t="shared" si="19"/>
        <v>0</v>
      </c>
      <c r="Q59" s="179">
        <f t="shared" si="19"/>
        <v>0</v>
      </c>
      <c r="R59" s="179">
        <f t="shared" si="19"/>
        <v>0.31973656258309563</v>
      </c>
      <c r="S59" s="179">
        <f t="shared" si="19"/>
        <v>0</v>
      </c>
      <c r="T59" s="179">
        <f t="shared" si="19"/>
        <v>0</v>
      </c>
      <c r="U59" s="179">
        <f t="shared" si="19"/>
        <v>0</v>
      </c>
      <c r="V59" s="179">
        <f t="shared" si="19"/>
        <v>0</v>
      </c>
      <c r="W59" s="179">
        <f t="shared" si="19"/>
        <v>0</v>
      </c>
      <c r="X59" s="179">
        <f t="shared" si="19"/>
        <v>0</v>
      </c>
      <c r="Y59" s="179"/>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AF2F6-198F-4983-9FCB-B284F1354979}">
  <sheetPr>
    <tabColor theme="7" tint="-0.499984740745262"/>
  </sheetPr>
  <dimension ref="A1:F75"/>
  <sheetViews>
    <sheetView workbookViewId="0">
      <pane xSplit="1" ySplit="3" topLeftCell="B4" activePane="bottomRight" state="frozen"/>
      <selection activeCell="D21" sqref="D21:D24"/>
      <selection pane="topRight" activeCell="D21" sqref="D21:D24"/>
      <selection pane="bottomLeft" activeCell="D21" sqref="D21:D24"/>
      <selection pane="bottomRight" activeCell="D21" sqref="D21:D24"/>
    </sheetView>
  </sheetViews>
  <sheetFormatPr defaultColWidth="8.88671875" defaultRowHeight="14.4" x14ac:dyDescent="0.3"/>
  <cols>
    <col min="1" max="4" width="9.33203125" style="236" bestFit="1" customWidth="1"/>
    <col min="5" max="16384" width="8.88671875" style="236"/>
  </cols>
  <sheetData>
    <row r="1" spans="1:4" ht="25.8" x14ac:dyDescent="0.5">
      <c r="A1" s="249" t="s">
        <v>428</v>
      </c>
      <c r="B1" s="249"/>
    </row>
    <row r="3" spans="1:4" x14ac:dyDescent="0.3">
      <c r="A3" s="250" t="s">
        <v>429</v>
      </c>
      <c r="B3" s="250" t="s">
        <v>85</v>
      </c>
      <c r="C3" s="250" t="s">
        <v>65</v>
      </c>
      <c r="D3" s="250" t="s">
        <v>430</v>
      </c>
    </row>
    <row r="4" spans="1:4" x14ac:dyDescent="0.3">
      <c r="A4" s="251">
        <v>1</v>
      </c>
      <c r="B4" s="251">
        <v>1</v>
      </c>
      <c r="C4" s="251">
        <v>1</v>
      </c>
      <c r="D4" s="251">
        <v>1</v>
      </c>
    </row>
    <row r="5" spans="1:4" x14ac:dyDescent="0.3">
      <c r="A5" s="251">
        <v>1.1000000000000001</v>
      </c>
      <c r="B5" s="251">
        <v>1.1000000000000001</v>
      </c>
      <c r="C5" s="251">
        <v>1</v>
      </c>
      <c r="D5" s="251"/>
    </row>
    <row r="6" spans="1:4" x14ac:dyDescent="0.3">
      <c r="A6" s="251">
        <v>1.2</v>
      </c>
      <c r="B6" s="251">
        <v>1.2</v>
      </c>
      <c r="C6" s="251">
        <v>1</v>
      </c>
      <c r="D6" s="251"/>
    </row>
    <row r="7" spans="1:4" x14ac:dyDescent="0.3">
      <c r="A7" s="251">
        <v>1.3</v>
      </c>
      <c r="B7" s="251">
        <v>1.3</v>
      </c>
      <c r="C7" s="251">
        <v>1</v>
      </c>
      <c r="D7" s="251"/>
    </row>
    <row r="8" spans="1:4" x14ac:dyDescent="0.3">
      <c r="A8" s="251">
        <v>1.5</v>
      </c>
      <c r="B8" s="251">
        <v>1.5</v>
      </c>
      <c r="C8" s="251">
        <v>1.5</v>
      </c>
      <c r="D8" s="251">
        <v>1.5</v>
      </c>
    </row>
    <row r="9" spans="1:4" x14ac:dyDescent="0.3">
      <c r="A9" s="251">
        <v>1.6</v>
      </c>
      <c r="B9" s="251">
        <v>1.6</v>
      </c>
      <c r="C9" s="251">
        <v>1.5</v>
      </c>
      <c r="D9" s="251"/>
    </row>
    <row r="10" spans="1:4" x14ac:dyDescent="0.3">
      <c r="A10" s="251">
        <v>1.8</v>
      </c>
      <c r="B10" s="251">
        <v>1.8</v>
      </c>
      <c r="C10" s="251">
        <v>1.5</v>
      </c>
      <c r="D10" s="251"/>
    </row>
    <row r="11" spans="1:4" x14ac:dyDescent="0.3">
      <c r="A11" s="251">
        <v>2</v>
      </c>
      <c r="B11" s="251">
        <v>2</v>
      </c>
      <c r="C11" s="251">
        <v>1.5</v>
      </c>
      <c r="D11" s="251"/>
    </row>
    <row r="12" spans="1:4" x14ac:dyDescent="0.3">
      <c r="A12" s="251">
        <v>2.2000000000000002</v>
      </c>
      <c r="B12" s="251">
        <v>2.2000000000000002</v>
      </c>
      <c r="C12" s="251">
        <v>2.2000000000000002</v>
      </c>
      <c r="D12" s="251">
        <v>2.2000000000000002</v>
      </c>
    </row>
    <row r="13" spans="1:4" x14ac:dyDescent="0.3">
      <c r="A13" s="251">
        <v>2.4</v>
      </c>
      <c r="B13" s="251">
        <v>2.4</v>
      </c>
      <c r="C13" s="251">
        <v>2.2000000000000002</v>
      </c>
      <c r="D13" s="251"/>
    </row>
    <row r="14" spans="1:4" x14ac:dyDescent="0.3">
      <c r="A14" s="251">
        <v>2.7</v>
      </c>
      <c r="B14" s="251">
        <v>2.7</v>
      </c>
      <c r="C14" s="251">
        <v>2.2000000000000002</v>
      </c>
      <c r="D14" s="251"/>
    </row>
    <row r="15" spans="1:4" x14ac:dyDescent="0.3">
      <c r="A15" s="251">
        <v>3</v>
      </c>
      <c r="B15" s="251">
        <v>3</v>
      </c>
      <c r="C15" s="251">
        <v>2.2000000000000002</v>
      </c>
      <c r="D15" s="251"/>
    </row>
    <row r="16" spans="1:4" x14ac:dyDescent="0.3">
      <c r="A16" s="251">
        <v>3.3</v>
      </c>
      <c r="B16" s="251">
        <v>3.3</v>
      </c>
      <c r="C16" s="251">
        <v>3.3</v>
      </c>
      <c r="D16" s="251">
        <v>3.3</v>
      </c>
    </row>
    <row r="17" spans="1:6" x14ac:dyDescent="0.3">
      <c r="A17" s="251">
        <v>3.6</v>
      </c>
      <c r="B17" s="251">
        <v>3.6</v>
      </c>
      <c r="C17" s="251">
        <f>C18</f>
        <v>4.7</v>
      </c>
      <c r="D17" s="251"/>
    </row>
    <row r="18" spans="1:6" x14ac:dyDescent="0.3">
      <c r="A18" s="251">
        <v>3.9</v>
      </c>
      <c r="B18" s="251">
        <v>3.9</v>
      </c>
      <c r="C18" s="251">
        <f>C19</f>
        <v>4.7</v>
      </c>
      <c r="D18" s="251"/>
    </row>
    <row r="19" spans="1:6" x14ac:dyDescent="0.3">
      <c r="A19" s="251">
        <v>4.3</v>
      </c>
      <c r="B19" s="251">
        <v>4.3</v>
      </c>
      <c r="C19" s="251">
        <f>C20</f>
        <v>4.7</v>
      </c>
      <c r="D19" s="251"/>
    </row>
    <row r="20" spans="1:6" x14ac:dyDescent="0.3">
      <c r="A20" s="251">
        <v>4.7</v>
      </c>
      <c r="B20" s="251">
        <v>4.7</v>
      </c>
      <c r="C20" s="251">
        <v>4.7</v>
      </c>
      <c r="D20" s="251">
        <v>4.7</v>
      </c>
    </row>
    <row r="21" spans="1:6" x14ac:dyDescent="0.3">
      <c r="A21" s="251">
        <v>5.0999999999999996</v>
      </c>
      <c r="B21" s="251">
        <v>5.0999999999999996</v>
      </c>
      <c r="C21" s="251">
        <f>C22</f>
        <v>6.8</v>
      </c>
      <c r="D21" s="251"/>
    </row>
    <row r="22" spans="1:6" x14ac:dyDescent="0.3">
      <c r="A22" s="251">
        <v>5.6</v>
      </c>
      <c r="B22" s="251">
        <v>5.6</v>
      </c>
      <c r="C22" s="251">
        <f>C23</f>
        <v>6.8</v>
      </c>
      <c r="D22" s="251"/>
    </row>
    <row r="23" spans="1:6" x14ac:dyDescent="0.3">
      <c r="A23" s="251">
        <v>6.2</v>
      </c>
      <c r="B23" s="251">
        <v>6.2</v>
      </c>
      <c r="C23" s="251">
        <f>C24</f>
        <v>6.8</v>
      </c>
      <c r="D23" s="251"/>
    </row>
    <row r="24" spans="1:6" x14ac:dyDescent="0.3">
      <c r="A24" s="251">
        <v>6.8</v>
      </c>
      <c r="B24" s="251">
        <v>6.8</v>
      </c>
      <c r="C24" s="251">
        <v>6.8</v>
      </c>
      <c r="D24" s="251">
        <v>6.8</v>
      </c>
    </row>
    <row r="25" spans="1:6" x14ac:dyDescent="0.3">
      <c r="A25" s="251">
        <v>7.5</v>
      </c>
      <c r="B25" s="251">
        <v>7.5</v>
      </c>
      <c r="C25" s="251">
        <f>C26</f>
        <v>10</v>
      </c>
      <c r="D25" s="251"/>
    </row>
    <row r="26" spans="1:6" x14ac:dyDescent="0.3">
      <c r="A26" s="251">
        <v>8.1999999999999993</v>
      </c>
      <c r="B26" s="251">
        <v>8.1999999999999993</v>
      </c>
      <c r="C26" s="251">
        <f>C27</f>
        <v>10</v>
      </c>
      <c r="D26" s="251"/>
    </row>
    <row r="27" spans="1:6" x14ac:dyDescent="0.3">
      <c r="A27" s="251">
        <v>9.1</v>
      </c>
      <c r="B27" s="251">
        <v>9.1</v>
      </c>
      <c r="C27" s="251">
        <f>C28</f>
        <v>10</v>
      </c>
      <c r="D27" s="251"/>
    </row>
    <row r="28" spans="1:6" x14ac:dyDescent="0.3">
      <c r="A28" s="251">
        <v>10</v>
      </c>
      <c r="B28" s="251">
        <v>10</v>
      </c>
      <c r="C28" s="251">
        <v>10</v>
      </c>
      <c r="D28" s="251">
        <v>10</v>
      </c>
    </row>
    <row r="29" spans="1:6" x14ac:dyDescent="0.3">
      <c r="A29" s="251">
        <v>11</v>
      </c>
      <c r="B29" s="251">
        <f t="shared" ref="B29:C31" si="0">B30</f>
        <v>15</v>
      </c>
      <c r="C29" s="251">
        <f t="shared" si="0"/>
        <v>15</v>
      </c>
      <c r="D29" s="251"/>
    </row>
    <row r="30" spans="1:6" x14ac:dyDescent="0.3">
      <c r="A30" s="251">
        <v>12</v>
      </c>
      <c r="B30" s="251">
        <f t="shared" si="0"/>
        <v>15</v>
      </c>
      <c r="C30" s="251">
        <f t="shared" si="0"/>
        <v>15</v>
      </c>
      <c r="D30" s="251"/>
    </row>
    <row r="31" spans="1:6" x14ac:dyDescent="0.3">
      <c r="A31" s="251">
        <v>13</v>
      </c>
      <c r="B31" s="251">
        <f t="shared" si="0"/>
        <v>15</v>
      </c>
      <c r="C31" s="251">
        <f t="shared" si="0"/>
        <v>15</v>
      </c>
      <c r="D31" s="251"/>
    </row>
    <row r="32" spans="1:6" x14ac:dyDescent="0.3">
      <c r="A32" s="251">
        <v>15</v>
      </c>
      <c r="B32" s="251">
        <v>15</v>
      </c>
      <c r="C32" s="251">
        <v>15</v>
      </c>
      <c r="D32" s="251"/>
      <c r="F32" s="252"/>
    </row>
    <row r="33" spans="1:4" x14ac:dyDescent="0.3">
      <c r="A33" s="251">
        <v>16</v>
      </c>
      <c r="B33" s="251">
        <f t="shared" ref="B33:C35" si="1">B34</f>
        <v>22</v>
      </c>
      <c r="C33" s="251">
        <f t="shared" si="1"/>
        <v>22</v>
      </c>
      <c r="D33" s="251"/>
    </row>
    <row r="34" spans="1:4" x14ac:dyDescent="0.3">
      <c r="A34" s="251">
        <v>18</v>
      </c>
      <c r="B34" s="251">
        <f t="shared" si="1"/>
        <v>22</v>
      </c>
      <c r="C34" s="251">
        <f t="shared" si="1"/>
        <v>22</v>
      </c>
      <c r="D34" s="251"/>
    </row>
    <row r="35" spans="1:4" x14ac:dyDescent="0.3">
      <c r="A35" s="251">
        <v>20</v>
      </c>
      <c r="B35" s="251">
        <f t="shared" si="1"/>
        <v>22</v>
      </c>
      <c r="C35" s="251">
        <f t="shared" si="1"/>
        <v>22</v>
      </c>
      <c r="D35" s="251"/>
    </row>
    <row r="36" spans="1:4" x14ac:dyDescent="0.3">
      <c r="A36" s="251">
        <v>22</v>
      </c>
      <c r="B36" s="251">
        <v>22</v>
      </c>
      <c r="C36" s="251">
        <v>22</v>
      </c>
      <c r="D36" s="251"/>
    </row>
    <row r="37" spans="1:4" x14ac:dyDescent="0.3">
      <c r="A37" s="251">
        <v>24</v>
      </c>
      <c r="B37" s="251">
        <f t="shared" ref="B37:C39" si="2">B38</f>
        <v>33</v>
      </c>
      <c r="C37" s="251">
        <f t="shared" si="2"/>
        <v>33</v>
      </c>
      <c r="D37" s="251"/>
    </row>
    <row r="38" spans="1:4" x14ac:dyDescent="0.3">
      <c r="A38" s="251">
        <v>27</v>
      </c>
      <c r="B38" s="251">
        <f t="shared" si="2"/>
        <v>33</v>
      </c>
      <c r="C38" s="251">
        <f t="shared" si="2"/>
        <v>33</v>
      </c>
      <c r="D38" s="251"/>
    </row>
    <row r="39" spans="1:4" x14ac:dyDescent="0.3">
      <c r="A39" s="251">
        <v>30</v>
      </c>
      <c r="B39" s="251">
        <f t="shared" si="2"/>
        <v>33</v>
      </c>
      <c r="C39" s="251">
        <f t="shared" si="2"/>
        <v>33</v>
      </c>
      <c r="D39" s="251"/>
    </row>
    <row r="40" spans="1:4" x14ac:dyDescent="0.3">
      <c r="A40" s="251">
        <v>33</v>
      </c>
      <c r="B40" s="251">
        <v>33</v>
      </c>
      <c r="C40" s="251">
        <v>33</v>
      </c>
      <c r="D40" s="251"/>
    </row>
    <row r="41" spans="1:4" x14ac:dyDescent="0.3">
      <c r="A41" s="251">
        <v>36</v>
      </c>
      <c r="B41" s="251">
        <f t="shared" ref="B41:C43" si="3">B42</f>
        <v>47</v>
      </c>
      <c r="C41" s="251">
        <f t="shared" si="3"/>
        <v>47</v>
      </c>
      <c r="D41" s="251"/>
    </row>
    <row r="42" spans="1:4" x14ac:dyDescent="0.3">
      <c r="A42" s="251">
        <v>39</v>
      </c>
      <c r="B42" s="251">
        <f t="shared" si="3"/>
        <v>47</v>
      </c>
      <c r="C42" s="251">
        <f t="shared" si="3"/>
        <v>47</v>
      </c>
      <c r="D42" s="251"/>
    </row>
    <row r="43" spans="1:4" x14ac:dyDescent="0.3">
      <c r="A43" s="251">
        <v>43</v>
      </c>
      <c r="B43" s="251">
        <f t="shared" si="3"/>
        <v>47</v>
      </c>
      <c r="C43" s="251">
        <f t="shared" si="3"/>
        <v>47</v>
      </c>
      <c r="D43" s="251"/>
    </row>
    <row r="44" spans="1:4" x14ac:dyDescent="0.3">
      <c r="A44" s="251">
        <v>47</v>
      </c>
      <c r="B44" s="251">
        <v>47</v>
      </c>
      <c r="C44" s="251">
        <v>47</v>
      </c>
      <c r="D44" s="251"/>
    </row>
    <row r="45" spans="1:4" x14ac:dyDescent="0.3">
      <c r="A45" s="251">
        <v>51</v>
      </c>
      <c r="B45" s="251">
        <f t="shared" ref="B45:C47" si="4">B46</f>
        <v>68</v>
      </c>
      <c r="C45" s="251">
        <f t="shared" si="4"/>
        <v>68</v>
      </c>
      <c r="D45" s="251"/>
    </row>
    <row r="46" spans="1:4" x14ac:dyDescent="0.3">
      <c r="A46" s="251">
        <v>56</v>
      </c>
      <c r="B46" s="251">
        <f t="shared" si="4"/>
        <v>68</v>
      </c>
      <c r="C46" s="251">
        <f t="shared" si="4"/>
        <v>68</v>
      </c>
      <c r="D46" s="251"/>
    </row>
    <row r="47" spans="1:4" x14ac:dyDescent="0.3">
      <c r="A47" s="251">
        <v>62</v>
      </c>
      <c r="B47" s="251">
        <f t="shared" si="4"/>
        <v>68</v>
      </c>
      <c r="C47" s="251">
        <f t="shared" si="4"/>
        <v>68</v>
      </c>
      <c r="D47" s="251"/>
    </row>
    <row r="48" spans="1:4" x14ac:dyDescent="0.3">
      <c r="A48" s="251">
        <v>68</v>
      </c>
      <c r="B48" s="251">
        <v>68</v>
      </c>
      <c r="C48" s="251">
        <v>68</v>
      </c>
      <c r="D48" s="251"/>
    </row>
    <row r="49" spans="1:4" x14ac:dyDescent="0.3">
      <c r="A49" s="251">
        <v>75</v>
      </c>
      <c r="B49" s="251">
        <f t="shared" ref="B49:C51" si="5">B50</f>
        <v>100</v>
      </c>
      <c r="C49" s="251">
        <f t="shared" si="5"/>
        <v>100</v>
      </c>
      <c r="D49" s="251"/>
    </row>
    <row r="50" spans="1:4" x14ac:dyDescent="0.3">
      <c r="A50" s="251">
        <v>82</v>
      </c>
      <c r="B50" s="251">
        <f t="shared" si="5"/>
        <v>100</v>
      </c>
      <c r="C50" s="251">
        <f t="shared" si="5"/>
        <v>100</v>
      </c>
      <c r="D50" s="251"/>
    </row>
    <row r="51" spans="1:4" x14ac:dyDescent="0.3">
      <c r="A51" s="251">
        <v>91</v>
      </c>
      <c r="B51" s="251">
        <f t="shared" si="5"/>
        <v>100</v>
      </c>
      <c r="C51" s="251">
        <f t="shared" si="5"/>
        <v>100</v>
      </c>
      <c r="D51" s="251"/>
    </row>
    <row r="52" spans="1:4" x14ac:dyDescent="0.3">
      <c r="A52" s="251">
        <v>100</v>
      </c>
      <c r="B52" s="251">
        <v>100</v>
      </c>
      <c r="C52" s="251">
        <v>100</v>
      </c>
    </row>
    <row r="53" spans="1:4" x14ac:dyDescent="0.3">
      <c r="A53" s="251">
        <v>110</v>
      </c>
      <c r="B53" s="251">
        <f t="shared" ref="B53:C55" si="6">B54</f>
        <v>150</v>
      </c>
      <c r="C53" s="251">
        <f t="shared" si="6"/>
        <v>150</v>
      </c>
    </row>
    <row r="54" spans="1:4" x14ac:dyDescent="0.3">
      <c r="A54" s="251">
        <v>120</v>
      </c>
      <c r="B54" s="251">
        <f t="shared" si="6"/>
        <v>150</v>
      </c>
      <c r="C54" s="251">
        <f t="shared" si="6"/>
        <v>150</v>
      </c>
    </row>
    <row r="55" spans="1:4" x14ac:dyDescent="0.3">
      <c r="A55" s="251">
        <v>130</v>
      </c>
      <c r="B55" s="251">
        <f t="shared" si="6"/>
        <v>150</v>
      </c>
      <c r="C55" s="251">
        <f t="shared" si="6"/>
        <v>150</v>
      </c>
    </row>
    <row r="56" spans="1:4" x14ac:dyDescent="0.3">
      <c r="A56" s="251">
        <v>150</v>
      </c>
      <c r="B56" s="251">
        <v>150</v>
      </c>
      <c r="C56" s="251">
        <v>150</v>
      </c>
    </row>
    <row r="57" spans="1:4" x14ac:dyDescent="0.3">
      <c r="A57" s="251">
        <v>160</v>
      </c>
      <c r="B57" s="251">
        <f t="shared" ref="B57:C59" si="7">B58</f>
        <v>220</v>
      </c>
      <c r="C57" s="251">
        <f t="shared" si="7"/>
        <v>220</v>
      </c>
    </row>
    <row r="58" spans="1:4" x14ac:dyDescent="0.3">
      <c r="A58" s="251">
        <v>180</v>
      </c>
      <c r="B58" s="251">
        <f t="shared" si="7"/>
        <v>220</v>
      </c>
      <c r="C58" s="251">
        <f t="shared" si="7"/>
        <v>220</v>
      </c>
    </row>
    <row r="59" spans="1:4" x14ac:dyDescent="0.3">
      <c r="A59" s="251">
        <v>200</v>
      </c>
      <c r="B59" s="251">
        <f t="shared" si="7"/>
        <v>220</v>
      </c>
      <c r="C59" s="251">
        <f t="shared" si="7"/>
        <v>220</v>
      </c>
    </row>
    <row r="60" spans="1:4" x14ac:dyDescent="0.3">
      <c r="A60" s="251">
        <v>220</v>
      </c>
      <c r="B60" s="251">
        <v>220</v>
      </c>
      <c r="C60" s="251">
        <v>220</v>
      </c>
    </row>
    <row r="61" spans="1:4" x14ac:dyDescent="0.3">
      <c r="A61" s="251">
        <v>240</v>
      </c>
      <c r="B61" s="251">
        <f t="shared" ref="B61:C63" si="8">B62</f>
        <v>330</v>
      </c>
      <c r="C61" s="251">
        <f t="shared" si="8"/>
        <v>330</v>
      </c>
    </row>
    <row r="62" spans="1:4" x14ac:dyDescent="0.3">
      <c r="A62" s="251">
        <v>270</v>
      </c>
      <c r="B62" s="251">
        <f t="shared" si="8"/>
        <v>330</v>
      </c>
      <c r="C62" s="251">
        <f t="shared" si="8"/>
        <v>330</v>
      </c>
    </row>
    <row r="63" spans="1:4" x14ac:dyDescent="0.3">
      <c r="A63" s="251">
        <v>300</v>
      </c>
      <c r="B63" s="251">
        <f t="shared" si="8"/>
        <v>330</v>
      </c>
      <c r="C63" s="251">
        <f t="shared" si="8"/>
        <v>330</v>
      </c>
    </row>
    <row r="64" spans="1:4" x14ac:dyDescent="0.3">
      <c r="A64" s="251">
        <v>330</v>
      </c>
      <c r="B64" s="251">
        <v>330</v>
      </c>
      <c r="C64" s="251">
        <v>330</v>
      </c>
    </row>
    <row r="65" spans="1:3" x14ac:dyDescent="0.3">
      <c r="A65" s="251">
        <v>360</v>
      </c>
      <c r="B65" s="251">
        <f t="shared" ref="B65:C67" si="9">B66</f>
        <v>470</v>
      </c>
      <c r="C65" s="251">
        <f t="shared" si="9"/>
        <v>470</v>
      </c>
    </row>
    <row r="66" spans="1:3" x14ac:dyDescent="0.3">
      <c r="A66" s="251">
        <v>390</v>
      </c>
      <c r="B66" s="251">
        <f t="shared" si="9"/>
        <v>470</v>
      </c>
      <c r="C66" s="251">
        <f t="shared" si="9"/>
        <v>470</v>
      </c>
    </row>
    <row r="67" spans="1:3" x14ac:dyDescent="0.3">
      <c r="A67" s="251">
        <v>430</v>
      </c>
      <c r="B67" s="251">
        <f t="shared" si="9"/>
        <v>470</v>
      </c>
      <c r="C67" s="251">
        <f t="shared" si="9"/>
        <v>470</v>
      </c>
    </row>
    <row r="68" spans="1:3" x14ac:dyDescent="0.3">
      <c r="A68" s="251">
        <v>470</v>
      </c>
      <c r="B68" s="251">
        <v>470</v>
      </c>
      <c r="C68" s="251">
        <v>470</v>
      </c>
    </row>
    <row r="69" spans="1:3" x14ac:dyDescent="0.3">
      <c r="A69" s="251">
        <v>510</v>
      </c>
      <c r="B69" s="251">
        <f t="shared" ref="B69:C71" si="10">B70</f>
        <v>680</v>
      </c>
      <c r="C69" s="251">
        <f t="shared" si="10"/>
        <v>680</v>
      </c>
    </row>
    <row r="70" spans="1:3" x14ac:dyDescent="0.3">
      <c r="A70" s="251">
        <v>560</v>
      </c>
      <c r="B70" s="251">
        <f t="shared" si="10"/>
        <v>680</v>
      </c>
      <c r="C70" s="251">
        <f t="shared" si="10"/>
        <v>680</v>
      </c>
    </row>
    <row r="71" spans="1:3" x14ac:dyDescent="0.3">
      <c r="A71" s="251">
        <v>620</v>
      </c>
      <c r="B71" s="251">
        <f t="shared" si="10"/>
        <v>680</v>
      </c>
      <c r="C71" s="251">
        <f t="shared" si="10"/>
        <v>680</v>
      </c>
    </row>
    <row r="72" spans="1:3" x14ac:dyDescent="0.3">
      <c r="A72" s="251">
        <v>680</v>
      </c>
      <c r="B72" s="251">
        <v>680</v>
      </c>
      <c r="C72" s="251">
        <v>680</v>
      </c>
    </row>
    <row r="73" spans="1:3" x14ac:dyDescent="0.3">
      <c r="A73" s="251">
        <v>750</v>
      </c>
      <c r="B73" s="251">
        <f>B74</f>
        <v>1000</v>
      </c>
      <c r="C73" s="251">
        <f>C74</f>
        <v>1000</v>
      </c>
    </row>
    <row r="74" spans="1:3" x14ac:dyDescent="0.3">
      <c r="A74" s="251">
        <v>820</v>
      </c>
      <c r="B74" s="251">
        <f>B75</f>
        <v>1000</v>
      </c>
      <c r="C74" s="251">
        <f>C75</f>
        <v>1000</v>
      </c>
    </row>
    <row r="75" spans="1:3" x14ac:dyDescent="0.3">
      <c r="A75" s="251">
        <v>910</v>
      </c>
      <c r="B75" s="251">
        <v>1000</v>
      </c>
      <c r="C75" s="251">
        <v>1000</v>
      </c>
    </row>
  </sheetData>
  <hyperlinks>
    <hyperlink ref="A1:B1" r:id="rId1" display="Standard Capacitor Values" xr:uid="{CDCA181F-753D-4195-AE63-A072F01C58A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DF674-7DA6-4746-9E9A-4571C9414517}">
  <sheetPr>
    <tabColor rgb="FF0000FF"/>
  </sheetPr>
  <dimension ref="A1:I197"/>
  <sheetViews>
    <sheetView workbookViewId="0">
      <pane ySplit="4" topLeftCell="A5" activePane="bottomLeft" state="frozen"/>
      <selection activeCell="G170" sqref="G170"/>
      <selection pane="bottomLeft" activeCell="D21" sqref="D21:D24"/>
    </sheetView>
  </sheetViews>
  <sheetFormatPr defaultRowHeight="14.4" x14ac:dyDescent="0.3"/>
  <cols>
    <col min="1" max="6" width="18.6640625" style="236" customWidth="1"/>
    <col min="7" max="256" width="8.88671875" style="236"/>
    <col min="257" max="262" width="18.6640625" style="236" customWidth="1"/>
    <col min="263" max="512" width="8.88671875" style="236"/>
    <col min="513" max="518" width="18.6640625" style="236" customWidth="1"/>
    <col min="519" max="768" width="8.88671875" style="236"/>
    <col min="769" max="774" width="18.6640625" style="236" customWidth="1"/>
    <col min="775" max="1024" width="8.88671875" style="236"/>
    <col min="1025" max="1030" width="18.6640625" style="236" customWidth="1"/>
    <col min="1031" max="1280" width="8.88671875" style="236"/>
    <col min="1281" max="1286" width="18.6640625" style="236" customWidth="1"/>
    <col min="1287" max="1536" width="8.88671875" style="236"/>
    <col min="1537" max="1542" width="18.6640625" style="236" customWidth="1"/>
    <col min="1543" max="1792" width="8.88671875" style="236"/>
    <col min="1793" max="1798" width="18.6640625" style="236" customWidth="1"/>
    <col min="1799" max="2048" width="8.88671875" style="236"/>
    <col min="2049" max="2054" width="18.6640625" style="236" customWidth="1"/>
    <col min="2055" max="2304" width="8.88671875" style="236"/>
    <col min="2305" max="2310" width="18.6640625" style="236" customWidth="1"/>
    <col min="2311" max="2560" width="8.88671875" style="236"/>
    <col min="2561" max="2566" width="18.6640625" style="236" customWidth="1"/>
    <col min="2567" max="2816" width="8.88671875" style="236"/>
    <col min="2817" max="2822" width="18.6640625" style="236" customWidth="1"/>
    <col min="2823" max="3072" width="8.88671875" style="236"/>
    <col min="3073" max="3078" width="18.6640625" style="236" customWidth="1"/>
    <col min="3079" max="3328" width="8.88671875" style="236"/>
    <col min="3329" max="3334" width="18.6640625" style="236" customWidth="1"/>
    <col min="3335" max="3584" width="8.88671875" style="236"/>
    <col min="3585" max="3590" width="18.6640625" style="236" customWidth="1"/>
    <col min="3591" max="3840" width="8.88671875" style="236"/>
    <col min="3841" max="3846" width="18.6640625" style="236" customWidth="1"/>
    <col min="3847" max="4096" width="8.88671875" style="236"/>
    <col min="4097" max="4102" width="18.6640625" style="236" customWidth="1"/>
    <col min="4103" max="4352" width="8.88671875" style="236"/>
    <col min="4353" max="4358" width="18.6640625" style="236" customWidth="1"/>
    <col min="4359" max="4608" width="8.88671875" style="236"/>
    <col min="4609" max="4614" width="18.6640625" style="236" customWidth="1"/>
    <col min="4615" max="4864" width="8.88671875" style="236"/>
    <col min="4865" max="4870" width="18.6640625" style="236" customWidth="1"/>
    <col min="4871" max="5120" width="8.88671875" style="236"/>
    <col min="5121" max="5126" width="18.6640625" style="236" customWidth="1"/>
    <col min="5127" max="5376" width="8.88671875" style="236"/>
    <col min="5377" max="5382" width="18.6640625" style="236" customWidth="1"/>
    <col min="5383" max="5632" width="8.88671875" style="236"/>
    <col min="5633" max="5638" width="18.6640625" style="236" customWidth="1"/>
    <col min="5639" max="5888" width="8.88671875" style="236"/>
    <col min="5889" max="5894" width="18.6640625" style="236" customWidth="1"/>
    <col min="5895" max="6144" width="8.88671875" style="236"/>
    <col min="6145" max="6150" width="18.6640625" style="236" customWidth="1"/>
    <col min="6151" max="6400" width="8.88671875" style="236"/>
    <col min="6401" max="6406" width="18.6640625" style="236" customWidth="1"/>
    <col min="6407" max="6656" width="8.88671875" style="236"/>
    <col min="6657" max="6662" width="18.6640625" style="236" customWidth="1"/>
    <col min="6663" max="6912" width="8.88671875" style="236"/>
    <col min="6913" max="6918" width="18.6640625" style="236" customWidth="1"/>
    <col min="6919" max="7168" width="8.88671875" style="236"/>
    <col min="7169" max="7174" width="18.6640625" style="236" customWidth="1"/>
    <col min="7175" max="7424" width="8.88671875" style="236"/>
    <col min="7425" max="7430" width="18.6640625" style="236" customWidth="1"/>
    <col min="7431" max="7680" width="8.88671875" style="236"/>
    <col min="7681" max="7686" width="18.6640625" style="236" customWidth="1"/>
    <col min="7687" max="7936" width="8.88671875" style="236"/>
    <col min="7937" max="7942" width="18.6640625" style="236" customWidth="1"/>
    <col min="7943" max="8192" width="8.88671875" style="236"/>
    <col min="8193" max="8198" width="18.6640625" style="236" customWidth="1"/>
    <col min="8199" max="8448" width="8.88671875" style="236"/>
    <col min="8449" max="8454" width="18.6640625" style="236" customWidth="1"/>
    <col min="8455" max="8704" width="8.88671875" style="236"/>
    <col min="8705" max="8710" width="18.6640625" style="236" customWidth="1"/>
    <col min="8711" max="8960" width="8.88671875" style="236"/>
    <col min="8961" max="8966" width="18.6640625" style="236" customWidth="1"/>
    <col min="8967" max="9216" width="8.88671875" style="236"/>
    <col min="9217" max="9222" width="18.6640625" style="236" customWidth="1"/>
    <col min="9223" max="9472" width="8.88671875" style="236"/>
    <col min="9473" max="9478" width="18.6640625" style="236" customWidth="1"/>
    <col min="9479" max="9728" width="8.88671875" style="236"/>
    <col min="9729" max="9734" width="18.6640625" style="236" customWidth="1"/>
    <col min="9735" max="9984" width="8.88671875" style="236"/>
    <col min="9985" max="9990" width="18.6640625" style="236" customWidth="1"/>
    <col min="9991" max="10240" width="8.88671875" style="236"/>
    <col min="10241" max="10246" width="18.6640625" style="236" customWidth="1"/>
    <col min="10247" max="10496" width="8.88671875" style="236"/>
    <col min="10497" max="10502" width="18.6640625" style="236" customWidth="1"/>
    <col min="10503" max="10752" width="8.88671875" style="236"/>
    <col min="10753" max="10758" width="18.6640625" style="236" customWidth="1"/>
    <col min="10759" max="11008" width="8.88671875" style="236"/>
    <col min="11009" max="11014" width="18.6640625" style="236" customWidth="1"/>
    <col min="11015" max="11264" width="8.88671875" style="236"/>
    <col min="11265" max="11270" width="18.6640625" style="236" customWidth="1"/>
    <col min="11271" max="11520" width="8.88671875" style="236"/>
    <col min="11521" max="11526" width="18.6640625" style="236" customWidth="1"/>
    <col min="11527" max="11776" width="8.88671875" style="236"/>
    <col min="11777" max="11782" width="18.6640625" style="236" customWidth="1"/>
    <col min="11783" max="12032" width="8.88671875" style="236"/>
    <col min="12033" max="12038" width="18.6640625" style="236" customWidth="1"/>
    <col min="12039" max="12288" width="8.88671875" style="236"/>
    <col min="12289" max="12294" width="18.6640625" style="236" customWidth="1"/>
    <col min="12295" max="12544" width="8.88671875" style="236"/>
    <col min="12545" max="12550" width="18.6640625" style="236" customWidth="1"/>
    <col min="12551" max="12800" width="8.88671875" style="236"/>
    <col min="12801" max="12806" width="18.6640625" style="236" customWidth="1"/>
    <col min="12807" max="13056" width="8.88671875" style="236"/>
    <col min="13057" max="13062" width="18.6640625" style="236" customWidth="1"/>
    <col min="13063" max="13312" width="8.88671875" style="236"/>
    <col min="13313" max="13318" width="18.6640625" style="236" customWidth="1"/>
    <col min="13319" max="13568" width="8.88671875" style="236"/>
    <col min="13569" max="13574" width="18.6640625" style="236" customWidth="1"/>
    <col min="13575" max="13824" width="8.88671875" style="236"/>
    <col min="13825" max="13830" width="18.6640625" style="236" customWidth="1"/>
    <col min="13831" max="14080" width="8.88671875" style="236"/>
    <col min="14081" max="14086" width="18.6640625" style="236" customWidth="1"/>
    <col min="14087" max="14336" width="8.88671875" style="236"/>
    <col min="14337" max="14342" width="18.6640625" style="236" customWidth="1"/>
    <col min="14343" max="14592" width="8.88671875" style="236"/>
    <col min="14593" max="14598" width="18.6640625" style="236" customWidth="1"/>
    <col min="14599" max="14848" width="8.88671875" style="236"/>
    <col min="14849" max="14854" width="18.6640625" style="236" customWidth="1"/>
    <col min="14855" max="15104" width="8.88671875" style="236"/>
    <col min="15105" max="15110" width="18.6640625" style="236" customWidth="1"/>
    <col min="15111" max="15360" width="8.88671875" style="236"/>
    <col min="15361" max="15366" width="18.6640625" style="236" customWidth="1"/>
    <col min="15367" max="15616" width="8.88671875" style="236"/>
    <col min="15617" max="15622" width="18.6640625" style="236" customWidth="1"/>
    <col min="15623" max="15872" width="8.88671875" style="236"/>
    <col min="15873" max="15878" width="18.6640625" style="236" customWidth="1"/>
    <col min="15879" max="16128" width="8.88671875" style="236"/>
    <col min="16129" max="16134" width="18.6640625" style="236" customWidth="1"/>
    <col min="16135" max="16384" width="8.88671875" style="236"/>
  </cols>
  <sheetData>
    <row r="1" spans="1:9" ht="21" x14ac:dyDescent="0.4">
      <c r="A1" s="334" t="s">
        <v>419</v>
      </c>
      <c r="B1" s="334"/>
      <c r="C1" s="334"/>
      <c r="D1" s="334"/>
      <c r="E1" s="334"/>
      <c r="F1" s="334"/>
    </row>
    <row r="3" spans="1:9" x14ac:dyDescent="0.3">
      <c r="A3" s="237">
        <v>0.2</v>
      </c>
      <c r="B3" s="237">
        <v>0.1</v>
      </c>
      <c r="C3" s="237">
        <v>0.05</v>
      </c>
      <c r="D3" s="237">
        <v>0.02</v>
      </c>
      <c r="E3" s="237">
        <v>0.01</v>
      </c>
      <c r="F3" s="238" t="s">
        <v>420</v>
      </c>
    </row>
    <row r="4" spans="1:9" x14ac:dyDescent="0.3">
      <c r="A4" s="239" t="s">
        <v>421</v>
      </c>
      <c r="B4" s="239" t="s">
        <v>422</v>
      </c>
      <c r="C4" s="239" t="s">
        <v>423</v>
      </c>
      <c r="D4" s="239" t="s">
        <v>424</v>
      </c>
      <c r="E4" s="239" t="s">
        <v>425</v>
      </c>
      <c r="F4" s="239" t="s">
        <v>426</v>
      </c>
    </row>
    <row r="5" spans="1:9" x14ac:dyDescent="0.3">
      <c r="A5" s="335">
        <v>100</v>
      </c>
      <c r="B5" s="336">
        <v>100</v>
      </c>
      <c r="C5" s="331">
        <v>100</v>
      </c>
      <c r="D5" s="332">
        <v>100</v>
      </c>
      <c r="E5" s="333">
        <v>100</v>
      </c>
      <c r="F5" s="240">
        <v>100</v>
      </c>
    </row>
    <row r="6" spans="1:9" x14ac:dyDescent="0.3">
      <c r="A6" s="335"/>
      <c r="B6" s="336"/>
      <c r="C6" s="331"/>
      <c r="D6" s="332"/>
      <c r="E6" s="333"/>
      <c r="F6" s="240">
        <v>101</v>
      </c>
    </row>
    <row r="7" spans="1:9" x14ac:dyDescent="0.3">
      <c r="A7" s="335"/>
      <c r="B7" s="336"/>
      <c r="C7" s="331"/>
      <c r="D7" s="332"/>
      <c r="E7" s="333">
        <v>102</v>
      </c>
      <c r="F7" s="240">
        <v>102</v>
      </c>
    </row>
    <row r="8" spans="1:9" x14ac:dyDescent="0.3">
      <c r="A8" s="335"/>
      <c r="B8" s="336"/>
      <c r="C8" s="331"/>
      <c r="D8" s="332"/>
      <c r="E8" s="333"/>
      <c r="F8" s="240">
        <v>104</v>
      </c>
    </row>
    <row r="9" spans="1:9" x14ac:dyDescent="0.3">
      <c r="A9" s="335"/>
      <c r="B9" s="336"/>
      <c r="C9" s="331"/>
      <c r="D9" s="332">
        <v>105</v>
      </c>
      <c r="E9" s="333">
        <v>105</v>
      </c>
      <c r="F9" s="240">
        <v>105</v>
      </c>
    </row>
    <row r="10" spans="1:9" x14ac:dyDescent="0.3">
      <c r="A10" s="335"/>
      <c r="B10" s="336"/>
      <c r="C10" s="331"/>
      <c r="D10" s="332"/>
      <c r="E10" s="333"/>
      <c r="F10" s="240">
        <v>106</v>
      </c>
      <c r="I10" s="241"/>
    </row>
    <row r="11" spans="1:9" x14ac:dyDescent="0.3">
      <c r="A11" s="335"/>
      <c r="B11" s="336"/>
      <c r="C11" s="331"/>
      <c r="D11" s="332"/>
      <c r="E11" s="333">
        <v>107</v>
      </c>
      <c r="F11" s="240">
        <v>107</v>
      </c>
    </row>
    <row r="12" spans="1:9" x14ac:dyDescent="0.3">
      <c r="A12" s="335"/>
      <c r="B12" s="336"/>
      <c r="C12" s="331"/>
      <c r="D12" s="332"/>
      <c r="E12" s="333"/>
      <c r="F12" s="240">
        <v>109</v>
      </c>
    </row>
    <row r="13" spans="1:9" x14ac:dyDescent="0.3">
      <c r="A13" s="335"/>
      <c r="B13" s="336"/>
      <c r="C13" s="331">
        <v>110</v>
      </c>
      <c r="D13" s="332">
        <v>110</v>
      </c>
      <c r="E13" s="333">
        <v>110</v>
      </c>
      <c r="F13" s="240">
        <v>110</v>
      </c>
    </row>
    <row r="14" spans="1:9" x14ac:dyDescent="0.3">
      <c r="A14" s="335"/>
      <c r="B14" s="336"/>
      <c r="C14" s="331"/>
      <c r="D14" s="332"/>
      <c r="E14" s="333"/>
      <c r="F14" s="240">
        <v>111</v>
      </c>
    </row>
    <row r="15" spans="1:9" x14ac:dyDescent="0.3">
      <c r="A15" s="335"/>
      <c r="B15" s="336"/>
      <c r="C15" s="331"/>
      <c r="D15" s="332"/>
      <c r="E15" s="333">
        <v>113</v>
      </c>
      <c r="F15" s="240">
        <v>113</v>
      </c>
    </row>
    <row r="16" spans="1:9" x14ac:dyDescent="0.3">
      <c r="A16" s="335"/>
      <c r="B16" s="336"/>
      <c r="C16" s="331"/>
      <c r="D16" s="332"/>
      <c r="E16" s="333"/>
      <c r="F16" s="240">
        <v>114</v>
      </c>
    </row>
    <row r="17" spans="1:6" x14ac:dyDescent="0.3">
      <c r="A17" s="335"/>
      <c r="B17" s="336"/>
      <c r="C17" s="331"/>
      <c r="D17" s="332">
        <v>115</v>
      </c>
      <c r="E17" s="333">
        <v>115</v>
      </c>
      <c r="F17" s="240">
        <v>115</v>
      </c>
    </row>
    <row r="18" spans="1:6" x14ac:dyDescent="0.3">
      <c r="A18" s="335"/>
      <c r="B18" s="336"/>
      <c r="C18" s="331"/>
      <c r="D18" s="332"/>
      <c r="E18" s="333"/>
      <c r="F18" s="240">
        <v>117</v>
      </c>
    </row>
    <row r="19" spans="1:6" x14ac:dyDescent="0.3">
      <c r="A19" s="335"/>
      <c r="B19" s="336"/>
      <c r="C19" s="331"/>
      <c r="D19" s="332"/>
      <c r="E19" s="333">
        <v>118</v>
      </c>
      <c r="F19" s="240">
        <v>118</v>
      </c>
    </row>
    <row r="20" spans="1:6" x14ac:dyDescent="0.3">
      <c r="A20" s="335"/>
      <c r="B20" s="336"/>
      <c r="C20" s="331"/>
      <c r="D20" s="332"/>
      <c r="E20" s="333"/>
      <c r="F20" s="240">
        <v>120</v>
      </c>
    </row>
    <row r="21" spans="1:6" x14ac:dyDescent="0.3">
      <c r="A21" s="335"/>
      <c r="B21" s="336">
        <v>120</v>
      </c>
      <c r="C21" s="331">
        <v>120</v>
      </c>
      <c r="D21" s="332">
        <v>121</v>
      </c>
      <c r="E21" s="333">
        <v>121</v>
      </c>
      <c r="F21" s="240">
        <v>121</v>
      </c>
    </row>
    <row r="22" spans="1:6" x14ac:dyDescent="0.3">
      <c r="A22" s="335"/>
      <c r="B22" s="336"/>
      <c r="C22" s="331"/>
      <c r="D22" s="332"/>
      <c r="E22" s="333"/>
      <c r="F22" s="240">
        <v>123</v>
      </c>
    </row>
    <row r="23" spans="1:6" x14ac:dyDescent="0.3">
      <c r="A23" s="335"/>
      <c r="B23" s="336"/>
      <c r="C23" s="331"/>
      <c r="D23" s="332"/>
      <c r="E23" s="333">
        <v>124</v>
      </c>
      <c r="F23" s="240">
        <v>124</v>
      </c>
    </row>
    <row r="24" spans="1:6" x14ac:dyDescent="0.3">
      <c r="A24" s="335"/>
      <c r="B24" s="336"/>
      <c r="C24" s="331"/>
      <c r="D24" s="332"/>
      <c r="E24" s="333"/>
      <c r="F24" s="240">
        <v>126</v>
      </c>
    </row>
    <row r="25" spans="1:6" x14ac:dyDescent="0.3">
      <c r="A25" s="335"/>
      <c r="B25" s="336"/>
      <c r="C25" s="331"/>
      <c r="D25" s="332">
        <v>127</v>
      </c>
      <c r="E25" s="333">
        <v>127</v>
      </c>
      <c r="F25" s="240">
        <v>127</v>
      </c>
    </row>
    <row r="26" spans="1:6" x14ac:dyDescent="0.3">
      <c r="A26" s="335"/>
      <c r="B26" s="336"/>
      <c r="C26" s="331"/>
      <c r="D26" s="332"/>
      <c r="E26" s="333"/>
      <c r="F26" s="240">
        <v>129</v>
      </c>
    </row>
    <row r="27" spans="1:6" x14ac:dyDescent="0.3">
      <c r="A27" s="335"/>
      <c r="B27" s="336"/>
      <c r="C27" s="331"/>
      <c r="D27" s="332"/>
      <c r="E27" s="333">
        <v>130</v>
      </c>
      <c r="F27" s="240">
        <v>130</v>
      </c>
    </row>
    <row r="28" spans="1:6" x14ac:dyDescent="0.3">
      <c r="A28" s="335"/>
      <c r="B28" s="336"/>
      <c r="C28" s="331"/>
      <c r="D28" s="332"/>
      <c r="E28" s="333"/>
      <c r="F28" s="240">
        <v>132</v>
      </c>
    </row>
    <row r="29" spans="1:6" x14ac:dyDescent="0.3">
      <c r="A29" s="335"/>
      <c r="B29" s="336"/>
      <c r="C29" s="331">
        <v>130</v>
      </c>
      <c r="D29" s="332">
        <v>133</v>
      </c>
      <c r="E29" s="333">
        <v>133</v>
      </c>
      <c r="F29" s="240">
        <v>133</v>
      </c>
    </row>
    <row r="30" spans="1:6" x14ac:dyDescent="0.3">
      <c r="A30" s="335"/>
      <c r="B30" s="336"/>
      <c r="C30" s="331"/>
      <c r="D30" s="332"/>
      <c r="E30" s="333"/>
      <c r="F30" s="240">
        <v>135</v>
      </c>
    </row>
    <row r="31" spans="1:6" x14ac:dyDescent="0.3">
      <c r="A31" s="335"/>
      <c r="B31" s="336"/>
      <c r="C31" s="331"/>
      <c r="D31" s="332"/>
      <c r="E31" s="333">
        <v>137</v>
      </c>
      <c r="F31" s="240">
        <v>137</v>
      </c>
    </row>
    <row r="32" spans="1:6" x14ac:dyDescent="0.3">
      <c r="A32" s="335"/>
      <c r="B32" s="336"/>
      <c r="C32" s="331"/>
      <c r="D32" s="332"/>
      <c r="E32" s="333"/>
      <c r="F32" s="240">
        <v>138</v>
      </c>
    </row>
    <row r="33" spans="1:6" x14ac:dyDescent="0.3">
      <c r="A33" s="335"/>
      <c r="B33" s="336"/>
      <c r="C33" s="331"/>
      <c r="D33" s="332">
        <v>140</v>
      </c>
      <c r="E33" s="333">
        <v>140</v>
      </c>
      <c r="F33" s="240">
        <v>140</v>
      </c>
    </row>
    <row r="34" spans="1:6" x14ac:dyDescent="0.3">
      <c r="A34" s="335"/>
      <c r="B34" s="336"/>
      <c r="C34" s="331"/>
      <c r="D34" s="332"/>
      <c r="E34" s="333"/>
      <c r="F34" s="240">
        <v>142</v>
      </c>
    </row>
    <row r="35" spans="1:6" x14ac:dyDescent="0.3">
      <c r="A35" s="335"/>
      <c r="B35" s="336"/>
      <c r="C35" s="331"/>
      <c r="D35" s="332"/>
      <c r="E35" s="333">
        <v>143</v>
      </c>
      <c r="F35" s="240">
        <v>143</v>
      </c>
    </row>
    <row r="36" spans="1:6" x14ac:dyDescent="0.3">
      <c r="A36" s="335"/>
      <c r="B36" s="336"/>
      <c r="C36" s="331"/>
      <c r="D36" s="332"/>
      <c r="E36" s="333"/>
      <c r="F36" s="240">
        <v>145</v>
      </c>
    </row>
    <row r="37" spans="1:6" x14ac:dyDescent="0.3">
      <c r="A37" s="335">
        <v>150</v>
      </c>
      <c r="B37" s="336">
        <v>150</v>
      </c>
      <c r="C37" s="331">
        <v>150</v>
      </c>
      <c r="D37" s="332">
        <v>147</v>
      </c>
      <c r="E37" s="333">
        <v>147</v>
      </c>
      <c r="F37" s="240">
        <v>147</v>
      </c>
    </row>
    <row r="38" spans="1:6" x14ac:dyDescent="0.3">
      <c r="A38" s="335"/>
      <c r="B38" s="336"/>
      <c r="C38" s="331"/>
      <c r="D38" s="332"/>
      <c r="E38" s="333"/>
      <c r="F38" s="240">
        <v>149</v>
      </c>
    </row>
    <row r="39" spans="1:6" x14ac:dyDescent="0.3">
      <c r="A39" s="335"/>
      <c r="B39" s="336"/>
      <c r="C39" s="331"/>
      <c r="D39" s="332"/>
      <c r="E39" s="333">
        <v>150</v>
      </c>
      <c r="F39" s="240">
        <v>150</v>
      </c>
    </row>
    <row r="40" spans="1:6" x14ac:dyDescent="0.3">
      <c r="A40" s="335"/>
      <c r="B40" s="336"/>
      <c r="C40" s="331"/>
      <c r="D40" s="332"/>
      <c r="E40" s="333"/>
      <c r="F40" s="240">
        <v>152</v>
      </c>
    </row>
    <row r="41" spans="1:6" x14ac:dyDescent="0.3">
      <c r="A41" s="335"/>
      <c r="B41" s="336"/>
      <c r="C41" s="331"/>
      <c r="D41" s="332">
        <v>154</v>
      </c>
      <c r="E41" s="333">
        <v>154</v>
      </c>
      <c r="F41" s="240">
        <v>154</v>
      </c>
    </row>
    <row r="42" spans="1:6" x14ac:dyDescent="0.3">
      <c r="A42" s="335"/>
      <c r="B42" s="336"/>
      <c r="C42" s="331"/>
      <c r="D42" s="332"/>
      <c r="E42" s="333"/>
      <c r="F42" s="240">
        <v>156</v>
      </c>
    </row>
    <row r="43" spans="1:6" x14ac:dyDescent="0.3">
      <c r="A43" s="335"/>
      <c r="B43" s="336"/>
      <c r="C43" s="331"/>
      <c r="D43" s="332"/>
      <c r="E43" s="333">
        <v>158</v>
      </c>
      <c r="F43" s="240">
        <v>158</v>
      </c>
    </row>
    <row r="44" spans="1:6" x14ac:dyDescent="0.3">
      <c r="A44" s="335"/>
      <c r="B44" s="336"/>
      <c r="C44" s="331"/>
      <c r="D44" s="332"/>
      <c r="E44" s="333"/>
      <c r="F44" s="240">
        <v>160</v>
      </c>
    </row>
    <row r="45" spans="1:6" x14ac:dyDescent="0.3">
      <c r="A45" s="335"/>
      <c r="B45" s="336"/>
      <c r="C45" s="331">
        <v>160</v>
      </c>
      <c r="D45" s="332">
        <v>162</v>
      </c>
      <c r="E45" s="333">
        <v>162</v>
      </c>
      <c r="F45" s="240">
        <v>162</v>
      </c>
    </row>
    <row r="46" spans="1:6" x14ac:dyDescent="0.3">
      <c r="A46" s="335"/>
      <c r="B46" s="336"/>
      <c r="C46" s="331"/>
      <c r="D46" s="332"/>
      <c r="E46" s="333"/>
      <c r="F46" s="240">
        <v>164</v>
      </c>
    </row>
    <row r="47" spans="1:6" x14ac:dyDescent="0.3">
      <c r="A47" s="335"/>
      <c r="B47" s="336"/>
      <c r="C47" s="331"/>
      <c r="D47" s="332"/>
      <c r="E47" s="333">
        <v>165</v>
      </c>
      <c r="F47" s="240">
        <v>165</v>
      </c>
    </row>
    <row r="48" spans="1:6" x14ac:dyDescent="0.3">
      <c r="A48" s="335"/>
      <c r="B48" s="336"/>
      <c r="C48" s="331"/>
      <c r="D48" s="332"/>
      <c r="E48" s="333"/>
      <c r="F48" s="240">
        <v>167</v>
      </c>
    </row>
    <row r="49" spans="1:6" x14ac:dyDescent="0.3">
      <c r="A49" s="335"/>
      <c r="B49" s="336"/>
      <c r="C49" s="331"/>
      <c r="D49" s="332">
        <v>169</v>
      </c>
      <c r="E49" s="333">
        <v>169</v>
      </c>
      <c r="F49" s="240">
        <v>169</v>
      </c>
    </row>
    <row r="50" spans="1:6" x14ac:dyDescent="0.3">
      <c r="A50" s="335"/>
      <c r="B50" s="336"/>
      <c r="C50" s="331"/>
      <c r="D50" s="332"/>
      <c r="E50" s="333"/>
      <c r="F50" s="240">
        <v>172</v>
      </c>
    </row>
    <row r="51" spans="1:6" x14ac:dyDescent="0.3">
      <c r="A51" s="335"/>
      <c r="B51" s="336"/>
      <c r="C51" s="331"/>
      <c r="D51" s="332"/>
      <c r="E51" s="333">
        <v>174</v>
      </c>
      <c r="F51" s="240">
        <v>174</v>
      </c>
    </row>
    <row r="52" spans="1:6" x14ac:dyDescent="0.3">
      <c r="A52" s="335"/>
      <c r="B52" s="336"/>
      <c r="C52" s="331"/>
      <c r="D52" s="332"/>
      <c r="E52" s="333"/>
      <c r="F52" s="240">
        <v>176</v>
      </c>
    </row>
    <row r="53" spans="1:6" x14ac:dyDescent="0.3">
      <c r="A53" s="335"/>
      <c r="B53" s="336">
        <v>180</v>
      </c>
      <c r="C53" s="331">
        <v>180</v>
      </c>
      <c r="D53" s="332">
        <v>178</v>
      </c>
      <c r="E53" s="333">
        <v>178</v>
      </c>
      <c r="F53" s="240">
        <v>178</v>
      </c>
    </row>
    <row r="54" spans="1:6" x14ac:dyDescent="0.3">
      <c r="A54" s="335"/>
      <c r="B54" s="336"/>
      <c r="C54" s="331"/>
      <c r="D54" s="332"/>
      <c r="E54" s="333"/>
      <c r="F54" s="240">
        <v>180</v>
      </c>
    </row>
    <row r="55" spans="1:6" x14ac:dyDescent="0.3">
      <c r="A55" s="335"/>
      <c r="B55" s="336"/>
      <c r="C55" s="331"/>
      <c r="D55" s="332"/>
      <c r="E55" s="333">
        <v>182</v>
      </c>
      <c r="F55" s="240">
        <v>182</v>
      </c>
    </row>
    <row r="56" spans="1:6" x14ac:dyDescent="0.3">
      <c r="A56" s="335"/>
      <c r="B56" s="336"/>
      <c r="C56" s="331"/>
      <c r="D56" s="332"/>
      <c r="E56" s="333"/>
      <c r="F56" s="240">
        <v>184</v>
      </c>
    </row>
    <row r="57" spans="1:6" x14ac:dyDescent="0.3">
      <c r="A57" s="335"/>
      <c r="B57" s="336"/>
      <c r="C57" s="331"/>
      <c r="D57" s="332">
        <v>187</v>
      </c>
      <c r="E57" s="333">
        <v>187</v>
      </c>
      <c r="F57" s="240">
        <v>187</v>
      </c>
    </row>
    <row r="58" spans="1:6" x14ac:dyDescent="0.3">
      <c r="A58" s="335"/>
      <c r="B58" s="336"/>
      <c r="C58" s="331"/>
      <c r="D58" s="332"/>
      <c r="E58" s="333"/>
      <c r="F58" s="240">
        <v>189</v>
      </c>
    </row>
    <row r="59" spans="1:6" x14ac:dyDescent="0.3">
      <c r="A59" s="335"/>
      <c r="B59" s="336"/>
      <c r="C59" s="331"/>
      <c r="D59" s="332"/>
      <c r="E59" s="333">
        <v>191</v>
      </c>
      <c r="F59" s="240">
        <v>191</v>
      </c>
    </row>
    <row r="60" spans="1:6" x14ac:dyDescent="0.3">
      <c r="A60" s="335"/>
      <c r="B60" s="336"/>
      <c r="C60" s="331"/>
      <c r="D60" s="332"/>
      <c r="E60" s="333"/>
      <c r="F60" s="240">
        <v>193</v>
      </c>
    </row>
    <row r="61" spans="1:6" x14ac:dyDescent="0.3">
      <c r="A61" s="335"/>
      <c r="B61" s="336"/>
      <c r="C61" s="331">
        <v>200</v>
      </c>
      <c r="D61" s="332">
        <v>196</v>
      </c>
      <c r="E61" s="333">
        <v>196</v>
      </c>
      <c r="F61" s="240">
        <v>196</v>
      </c>
    </row>
    <row r="62" spans="1:6" x14ac:dyDescent="0.3">
      <c r="A62" s="335"/>
      <c r="B62" s="336"/>
      <c r="C62" s="331"/>
      <c r="D62" s="332"/>
      <c r="E62" s="333"/>
      <c r="F62" s="240">
        <v>198</v>
      </c>
    </row>
    <row r="63" spans="1:6" x14ac:dyDescent="0.3">
      <c r="A63" s="335"/>
      <c r="B63" s="336"/>
      <c r="C63" s="331"/>
      <c r="D63" s="332"/>
      <c r="E63" s="333">
        <v>200</v>
      </c>
      <c r="F63" s="240">
        <v>200</v>
      </c>
    </row>
    <row r="64" spans="1:6" x14ac:dyDescent="0.3">
      <c r="A64" s="335"/>
      <c r="B64" s="336"/>
      <c r="C64" s="331"/>
      <c r="D64" s="332"/>
      <c r="E64" s="333"/>
      <c r="F64" s="240">
        <v>203</v>
      </c>
    </row>
    <row r="65" spans="1:6" x14ac:dyDescent="0.3">
      <c r="A65" s="335"/>
      <c r="B65" s="336"/>
      <c r="C65" s="331"/>
      <c r="D65" s="332">
        <v>205</v>
      </c>
      <c r="E65" s="333">
        <v>205</v>
      </c>
      <c r="F65" s="240">
        <v>205</v>
      </c>
    </row>
    <row r="66" spans="1:6" x14ac:dyDescent="0.3">
      <c r="A66" s="335"/>
      <c r="B66" s="336"/>
      <c r="C66" s="331"/>
      <c r="D66" s="332"/>
      <c r="E66" s="333"/>
      <c r="F66" s="240">
        <v>208</v>
      </c>
    </row>
    <row r="67" spans="1:6" x14ac:dyDescent="0.3">
      <c r="A67" s="335"/>
      <c r="B67" s="336"/>
      <c r="C67" s="331"/>
      <c r="D67" s="332"/>
      <c r="E67" s="333">
        <v>210</v>
      </c>
      <c r="F67" s="240">
        <v>210</v>
      </c>
    </row>
    <row r="68" spans="1:6" x14ac:dyDescent="0.3">
      <c r="A68" s="335"/>
      <c r="B68" s="336"/>
      <c r="C68" s="331"/>
      <c r="D68" s="332"/>
      <c r="E68" s="333"/>
      <c r="F68" s="240">
        <v>213</v>
      </c>
    </row>
    <row r="69" spans="1:6" x14ac:dyDescent="0.3">
      <c r="A69" s="335">
        <v>220</v>
      </c>
      <c r="B69" s="336">
        <v>220</v>
      </c>
      <c r="C69" s="331">
        <v>220</v>
      </c>
      <c r="D69" s="332">
        <v>215</v>
      </c>
      <c r="E69" s="333">
        <v>215</v>
      </c>
      <c r="F69" s="240">
        <v>215</v>
      </c>
    </row>
    <row r="70" spans="1:6" x14ac:dyDescent="0.3">
      <c r="A70" s="335"/>
      <c r="B70" s="336"/>
      <c r="C70" s="331"/>
      <c r="D70" s="332"/>
      <c r="E70" s="333"/>
      <c r="F70" s="240">
        <v>218</v>
      </c>
    </row>
    <row r="71" spans="1:6" x14ac:dyDescent="0.3">
      <c r="A71" s="335"/>
      <c r="B71" s="336"/>
      <c r="C71" s="331"/>
      <c r="D71" s="332"/>
      <c r="E71" s="333">
        <v>221</v>
      </c>
      <c r="F71" s="240">
        <v>221</v>
      </c>
    </row>
    <row r="72" spans="1:6" x14ac:dyDescent="0.3">
      <c r="A72" s="335"/>
      <c r="B72" s="336"/>
      <c r="C72" s="331"/>
      <c r="D72" s="332"/>
      <c r="E72" s="333"/>
      <c r="F72" s="240">
        <v>223</v>
      </c>
    </row>
    <row r="73" spans="1:6" x14ac:dyDescent="0.3">
      <c r="A73" s="335"/>
      <c r="B73" s="336"/>
      <c r="C73" s="331"/>
      <c r="D73" s="332">
        <v>226</v>
      </c>
      <c r="E73" s="333">
        <v>226</v>
      </c>
      <c r="F73" s="240">
        <v>226</v>
      </c>
    </row>
    <row r="74" spans="1:6" x14ac:dyDescent="0.3">
      <c r="A74" s="335"/>
      <c r="B74" s="336"/>
      <c r="C74" s="331"/>
      <c r="D74" s="332"/>
      <c r="E74" s="333"/>
      <c r="F74" s="240">
        <v>229</v>
      </c>
    </row>
    <row r="75" spans="1:6" x14ac:dyDescent="0.3">
      <c r="A75" s="335"/>
      <c r="B75" s="336"/>
      <c r="C75" s="331"/>
      <c r="D75" s="332"/>
      <c r="E75" s="333">
        <v>232</v>
      </c>
      <c r="F75" s="240">
        <v>232</v>
      </c>
    </row>
    <row r="76" spans="1:6" x14ac:dyDescent="0.3">
      <c r="A76" s="335"/>
      <c r="B76" s="336"/>
      <c r="C76" s="331"/>
      <c r="D76" s="332"/>
      <c r="E76" s="333"/>
      <c r="F76" s="240">
        <v>234</v>
      </c>
    </row>
    <row r="77" spans="1:6" x14ac:dyDescent="0.3">
      <c r="A77" s="335"/>
      <c r="B77" s="336"/>
      <c r="C77" s="331">
        <v>240</v>
      </c>
      <c r="D77" s="332">
        <v>237</v>
      </c>
      <c r="E77" s="333">
        <v>237</v>
      </c>
      <c r="F77" s="240">
        <v>237</v>
      </c>
    </row>
    <row r="78" spans="1:6" x14ac:dyDescent="0.3">
      <c r="A78" s="335"/>
      <c r="B78" s="336"/>
      <c r="C78" s="331"/>
      <c r="D78" s="332"/>
      <c r="E78" s="333"/>
      <c r="F78" s="240">
        <v>240</v>
      </c>
    </row>
    <row r="79" spans="1:6" x14ac:dyDescent="0.3">
      <c r="A79" s="335"/>
      <c r="B79" s="336"/>
      <c r="C79" s="331"/>
      <c r="D79" s="332"/>
      <c r="E79" s="333">
        <v>243</v>
      </c>
      <c r="F79" s="240">
        <v>243</v>
      </c>
    </row>
    <row r="80" spans="1:6" x14ac:dyDescent="0.3">
      <c r="A80" s="335"/>
      <c r="B80" s="336"/>
      <c r="C80" s="331"/>
      <c r="D80" s="332"/>
      <c r="E80" s="333"/>
      <c r="F80" s="240">
        <v>246</v>
      </c>
    </row>
    <row r="81" spans="1:6" x14ac:dyDescent="0.3">
      <c r="A81" s="335"/>
      <c r="B81" s="336"/>
      <c r="C81" s="331"/>
      <c r="D81" s="332">
        <v>249</v>
      </c>
      <c r="E81" s="333">
        <v>249</v>
      </c>
      <c r="F81" s="240">
        <v>249</v>
      </c>
    </row>
    <row r="82" spans="1:6" x14ac:dyDescent="0.3">
      <c r="A82" s="335"/>
      <c r="B82" s="336"/>
      <c r="C82" s="331"/>
      <c r="D82" s="332"/>
      <c r="E82" s="333"/>
      <c r="F82" s="240">
        <v>252</v>
      </c>
    </row>
    <row r="83" spans="1:6" x14ac:dyDescent="0.3">
      <c r="A83" s="335"/>
      <c r="B83" s="336"/>
      <c r="C83" s="331"/>
      <c r="D83" s="332"/>
      <c r="E83" s="333">
        <v>255</v>
      </c>
      <c r="F83" s="240">
        <v>255</v>
      </c>
    </row>
    <row r="84" spans="1:6" x14ac:dyDescent="0.3">
      <c r="A84" s="335"/>
      <c r="B84" s="336"/>
      <c r="C84" s="331"/>
      <c r="D84" s="332"/>
      <c r="E84" s="333"/>
      <c r="F84" s="240">
        <v>258</v>
      </c>
    </row>
    <row r="85" spans="1:6" x14ac:dyDescent="0.3">
      <c r="A85" s="335"/>
      <c r="B85" s="336">
        <v>270</v>
      </c>
      <c r="C85" s="331">
        <v>270</v>
      </c>
      <c r="D85" s="332">
        <v>261</v>
      </c>
      <c r="E85" s="333">
        <v>261</v>
      </c>
      <c r="F85" s="240">
        <v>261</v>
      </c>
    </row>
    <row r="86" spans="1:6" x14ac:dyDescent="0.3">
      <c r="A86" s="335"/>
      <c r="B86" s="336"/>
      <c r="C86" s="331"/>
      <c r="D86" s="332"/>
      <c r="E86" s="333"/>
      <c r="F86" s="240">
        <v>264</v>
      </c>
    </row>
    <row r="87" spans="1:6" x14ac:dyDescent="0.3">
      <c r="A87" s="335"/>
      <c r="B87" s="336"/>
      <c r="C87" s="331"/>
      <c r="D87" s="332"/>
      <c r="E87" s="333">
        <v>267</v>
      </c>
      <c r="F87" s="240">
        <v>267</v>
      </c>
    </row>
    <row r="88" spans="1:6" x14ac:dyDescent="0.3">
      <c r="A88" s="335"/>
      <c r="B88" s="336"/>
      <c r="C88" s="331"/>
      <c r="D88" s="332"/>
      <c r="E88" s="333"/>
      <c r="F88" s="240">
        <v>271</v>
      </c>
    </row>
    <row r="89" spans="1:6" x14ac:dyDescent="0.3">
      <c r="A89" s="335"/>
      <c r="B89" s="336"/>
      <c r="C89" s="331"/>
      <c r="D89" s="332">
        <v>274</v>
      </c>
      <c r="E89" s="333">
        <v>274</v>
      </c>
      <c r="F89" s="240">
        <v>274</v>
      </c>
    </row>
    <row r="90" spans="1:6" x14ac:dyDescent="0.3">
      <c r="A90" s="335"/>
      <c r="B90" s="336"/>
      <c r="C90" s="331"/>
      <c r="D90" s="332"/>
      <c r="E90" s="333"/>
      <c r="F90" s="240">
        <v>277</v>
      </c>
    </row>
    <row r="91" spans="1:6" x14ac:dyDescent="0.3">
      <c r="A91" s="335"/>
      <c r="B91" s="336"/>
      <c r="C91" s="331"/>
      <c r="D91" s="332"/>
      <c r="E91" s="333">
        <v>280</v>
      </c>
      <c r="F91" s="240">
        <v>280</v>
      </c>
    </row>
    <row r="92" spans="1:6" x14ac:dyDescent="0.3">
      <c r="A92" s="335"/>
      <c r="B92" s="336"/>
      <c r="C92" s="331"/>
      <c r="D92" s="332"/>
      <c r="E92" s="333"/>
      <c r="F92" s="240">
        <v>284</v>
      </c>
    </row>
    <row r="93" spans="1:6" x14ac:dyDescent="0.3">
      <c r="A93" s="335"/>
      <c r="B93" s="336"/>
      <c r="C93" s="331">
        <v>300</v>
      </c>
      <c r="D93" s="332">
        <v>287</v>
      </c>
      <c r="E93" s="333">
        <v>287</v>
      </c>
      <c r="F93" s="240">
        <v>287</v>
      </c>
    </row>
    <row r="94" spans="1:6" x14ac:dyDescent="0.3">
      <c r="A94" s="335"/>
      <c r="B94" s="336"/>
      <c r="C94" s="331"/>
      <c r="D94" s="332"/>
      <c r="E94" s="333"/>
      <c r="F94" s="240">
        <v>291</v>
      </c>
    </row>
    <row r="95" spans="1:6" x14ac:dyDescent="0.3">
      <c r="A95" s="335"/>
      <c r="B95" s="336"/>
      <c r="C95" s="331"/>
      <c r="D95" s="332"/>
      <c r="E95" s="333">
        <v>294</v>
      </c>
      <c r="F95" s="240">
        <v>294</v>
      </c>
    </row>
    <row r="96" spans="1:6" x14ac:dyDescent="0.3">
      <c r="A96" s="335"/>
      <c r="B96" s="336"/>
      <c r="C96" s="331"/>
      <c r="D96" s="332"/>
      <c r="E96" s="333"/>
      <c r="F96" s="240">
        <v>298</v>
      </c>
    </row>
    <row r="97" spans="1:6" x14ac:dyDescent="0.3">
      <c r="A97" s="335"/>
      <c r="B97" s="336"/>
      <c r="C97" s="331"/>
      <c r="D97" s="332">
        <v>301</v>
      </c>
      <c r="E97" s="333">
        <v>301</v>
      </c>
      <c r="F97" s="240">
        <v>301</v>
      </c>
    </row>
    <row r="98" spans="1:6" x14ac:dyDescent="0.3">
      <c r="A98" s="335"/>
      <c r="B98" s="336"/>
      <c r="C98" s="331"/>
      <c r="D98" s="332"/>
      <c r="E98" s="333"/>
      <c r="F98" s="240">
        <v>305</v>
      </c>
    </row>
    <row r="99" spans="1:6" x14ac:dyDescent="0.3">
      <c r="A99" s="335"/>
      <c r="B99" s="336"/>
      <c r="C99" s="331"/>
      <c r="D99" s="332"/>
      <c r="E99" s="333">
        <v>309</v>
      </c>
      <c r="F99" s="240">
        <v>309</v>
      </c>
    </row>
    <row r="100" spans="1:6" x14ac:dyDescent="0.3">
      <c r="A100" s="335"/>
      <c r="B100" s="336"/>
      <c r="C100" s="331"/>
      <c r="D100" s="332"/>
      <c r="E100" s="333"/>
      <c r="F100" s="240">
        <v>312</v>
      </c>
    </row>
    <row r="101" spans="1:6" x14ac:dyDescent="0.3">
      <c r="A101" s="335">
        <v>330</v>
      </c>
      <c r="B101" s="336">
        <v>330</v>
      </c>
      <c r="C101" s="331">
        <v>330</v>
      </c>
      <c r="D101" s="332">
        <v>316</v>
      </c>
      <c r="E101" s="333">
        <v>316</v>
      </c>
      <c r="F101" s="240">
        <v>316</v>
      </c>
    </row>
    <row r="102" spans="1:6" x14ac:dyDescent="0.3">
      <c r="A102" s="335"/>
      <c r="B102" s="336"/>
      <c r="C102" s="331"/>
      <c r="D102" s="332"/>
      <c r="E102" s="333"/>
      <c r="F102" s="240">
        <v>320</v>
      </c>
    </row>
    <row r="103" spans="1:6" x14ac:dyDescent="0.3">
      <c r="A103" s="335"/>
      <c r="B103" s="336"/>
      <c r="C103" s="331"/>
      <c r="D103" s="332"/>
      <c r="E103" s="333">
        <v>324</v>
      </c>
      <c r="F103" s="240">
        <v>324</v>
      </c>
    </row>
    <row r="104" spans="1:6" x14ac:dyDescent="0.3">
      <c r="A104" s="335"/>
      <c r="B104" s="336"/>
      <c r="C104" s="331"/>
      <c r="D104" s="332"/>
      <c r="E104" s="333"/>
      <c r="F104" s="240">
        <v>328</v>
      </c>
    </row>
    <row r="105" spans="1:6" x14ac:dyDescent="0.3">
      <c r="A105" s="335"/>
      <c r="B105" s="336"/>
      <c r="C105" s="331"/>
      <c r="D105" s="332">
        <v>332</v>
      </c>
      <c r="E105" s="333">
        <v>332</v>
      </c>
      <c r="F105" s="240">
        <v>332</v>
      </c>
    </row>
    <row r="106" spans="1:6" x14ac:dyDescent="0.3">
      <c r="A106" s="335"/>
      <c r="B106" s="336"/>
      <c r="C106" s="331"/>
      <c r="D106" s="332"/>
      <c r="E106" s="333"/>
      <c r="F106" s="240">
        <v>336</v>
      </c>
    </row>
    <row r="107" spans="1:6" x14ac:dyDescent="0.3">
      <c r="A107" s="335"/>
      <c r="B107" s="336"/>
      <c r="C107" s="331"/>
      <c r="D107" s="332"/>
      <c r="E107" s="333">
        <v>340</v>
      </c>
      <c r="F107" s="240">
        <v>340</v>
      </c>
    </row>
    <row r="108" spans="1:6" x14ac:dyDescent="0.3">
      <c r="A108" s="335"/>
      <c r="B108" s="336"/>
      <c r="C108" s="331"/>
      <c r="D108" s="332"/>
      <c r="E108" s="333"/>
      <c r="F108" s="240">
        <v>344</v>
      </c>
    </row>
    <row r="109" spans="1:6" x14ac:dyDescent="0.3">
      <c r="A109" s="335"/>
      <c r="B109" s="336"/>
      <c r="C109" s="331">
        <v>360</v>
      </c>
      <c r="D109" s="332">
        <v>348</v>
      </c>
      <c r="E109" s="333">
        <v>348</v>
      </c>
      <c r="F109" s="240">
        <v>348</v>
      </c>
    </row>
    <row r="110" spans="1:6" x14ac:dyDescent="0.3">
      <c r="A110" s="335"/>
      <c r="B110" s="336"/>
      <c r="C110" s="331"/>
      <c r="D110" s="332"/>
      <c r="E110" s="333"/>
      <c r="F110" s="240">
        <v>352</v>
      </c>
    </row>
    <row r="111" spans="1:6" x14ac:dyDescent="0.3">
      <c r="A111" s="335"/>
      <c r="B111" s="336"/>
      <c r="C111" s="331"/>
      <c r="D111" s="332"/>
      <c r="E111" s="333">
        <v>357</v>
      </c>
      <c r="F111" s="240">
        <v>357</v>
      </c>
    </row>
    <row r="112" spans="1:6" x14ac:dyDescent="0.3">
      <c r="A112" s="335"/>
      <c r="B112" s="336"/>
      <c r="C112" s="331"/>
      <c r="D112" s="332"/>
      <c r="E112" s="333"/>
      <c r="F112" s="240">
        <v>361</v>
      </c>
    </row>
    <row r="113" spans="1:6" x14ac:dyDescent="0.3">
      <c r="A113" s="335"/>
      <c r="B113" s="336"/>
      <c r="C113" s="331"/>
      <c r="D113" s="332">
        <v>365</v>
      </c>
      <c r="E113" s="333">
        <v>365</v>
      </c>
      <c r="F113" s="240">
        <v>365</v>
      </c>
    </row>
    <row r="114" spans="1:6" x14ac:dyDescent="0.3">
      <c r="A114" s="335"/>
      <c r="B114" s="336"/>
      <c r="C114" s="331"/>
      <c r="D114" s="332"/>
      <c r="E114" s="333"/>
      <c r="F114" s="240">
        <v>370</v>
      </c>
    </row>
    <row r="115" spans="1:6" x14ac:dyDescent="0.3">
      <c r="A115" s="335"/>
      <c r="B115" s="336"/>
      <c r="C115" s="331"/>
      <c r="D115" s="332"/>
      <c r="E115" s="333">
        <v>374</v>
      </c>
      <c r="F115" s="240">
        <v>374</v>
      </c>
    </row>
    <row r="116" spans="1:6" x14ac:dyDescent="0.3">
      <c r="A116" s="335"/>
      <c r="B116" s="336"/>
      <c r="C116" s="331"/>
      <c r="D116" s="332"/>
      <c r="E116" s="333"/>
      <c r="F116" s="240">
        <v>379</v>
      </c>
    </row>
    <row r="117" spans="1:6" x14ac:dyDescent="0.3">
      <c r="A117" s="335"/>
      <c r="B117" s="336">
        <v>390</v>
      </c>
      <c r="C117" s="331">
        <v>390</v>
      </c>
      <c r="D117" s="332">
        <v>383</v>
      </c>
      <c r="E117" s="333">
        <v>383</v>
      </c>
      <c r="F117" s="240">
        <v>383</v>
      </c>
    </row>
    <row r="118" spans="1:6" x14ac:dyDescent="0.3">
      <c r="A118" s="335"/>
      <c r="B118" s="336"/>
      <c r="C118" s="331"/>
      <c r="D118" s="332"/>
      <c r="E118" s="333"/>
      <c r="F118" s="240">
        <v>388</v>
      </c>
    </row>
    <row r="119" spans="1:6" x14ac:dyDescent="0.3">
      <c r="A119" s="335"/>
      <c r="B119" s="336"/>
      <c r="C119" s="331"/>
      <c r="D119" s="332"/>
      <c r="E119" s="333">
        <v>392</v>
      </c>
      <c r="F119" s="240">
        <v>392</v>
      </c>
    </row>
    <row r="120" spans="1:6" x14ac:dyDescent="0.3">
      <c r="A120" s="335"/>
      <c r="B120" s="336"/>
      <c r="C120" s="331"/>
      <c r="D120" s="332"/>
      <c r="E120" s="333"/>
      <c r="F120" s="240">
        <v>397</v>
      </c>
    </row>
    <row r="121" spans="1:6" x14ac:dyDescent="0.3">
      <c r="A121" s="335"/>
      <c r="B121" s="336"/>
      <c r="C121" s="331"/>
      <c r="D121" s="332">
        <v>402</v>
      </c>
      <c r="E121" s="333">
        <v>402</v>
      </c>
      <c r="F121" s="240">
        <v>402</v>
      </c>
    </row>
    <row r="122" spans="1:6" x14ac:dyDescent="0.3">
      <c r="A122" s="335"/>
      <c r="B122" s="336"/>
      <c r="C122" s="331"/>
      <c r="D122" s="332"/>
      <c r="E122" s="333"/>
      <c r="F122" s="240">
        <v>407</v>
      </c>
    </row>
    <row r="123" spans="1:6" x14ac:dyDescent="0.3">
      <c r="A123" s="335"/>
      <c r="B123" s="336"/>
      <c r="C123" s="331"/>
      <c r="D123" s="332"/>
      <c r="E123" s="333">
        <v>412</v>
      </c>
      <c r="F123" s="240">
        <v>412</v>
      </c>
    </row>
    <row r="124" spans="1:6" x14ac:dyDescent="0.3">
      <c r="A124" s="335"/>
      <c r="B124" s="336"/>
      <c r="C124" s="331"/>
      <c r="D124" s="332"/>
      <c r="E124" s="333"/>
      <c r="F124" s="240">
        <v>417</v>
      </c>
    </row>
    <row r="125" spans="1:6" x14ac:dyDescent="0.3">
      <c r="A125" s="335"/>
      <c r="B125" s="336"/>
      <c r="C125" s="331">
        <v>430</v>
      </c>
      <c r="D125" s="332">
        <v>422</v>
      </c>
      <c r="E125" s="333">
        <v>422</v>
      </c>
      <c r="F125" s="240">
        <v>422</v>
      </c>
    </row>
    <row r="126" spans="1:6" x14ac:dyDescent="0.3">
      <c r="A126" s="335"/>
      <c r="B126" s="336"/>
      <c r="C126" s="331"/>
      <c r="D126" s="332"/>
      <c r="E126" s="333"/>
      <c r="F126" s="240">
        <v>427</v>
      </c>
    </row>
    <row r="127" spans="1:6" x14ac:dyDescent="0.3">
      <c r="A127" s="335"/>
      <c r="B127" s="336"/>
      <c r="C127" s="331"/>
      <c r="D127" s="332"/>
      <c r="E127" s="333">
        <v>432</v>
      </c>
      <c r="F127" s="240">
        <v>432</v>
      </c>
    </row>
    <row r="128" spans="1:6" x14ac:dyDescent="0.3">
      <c r="A128" s="335"/>
      <c r="B128" s="336"/>
      <c r="C128" s="331"/>
      <c r="D128" s="332"/>
      <c r="E128" s="333"/>
      <c r="F128" s="240">
        <v>437</v>
      </c>
    </row>
    <row r="129" spans="1:6" x14ac:dyDescent="0.3">
      <c r="A129" s="335"/>
      <c r="B129" s="336"/>
      <c r="C129" s="331"/>
      <c r="D129" s="332">
        <v>442</v>
      </c>
      <c r="E129" s="333">
        <v>442</v>
      </c>
      <c r="F129" s="240">
        <v>442</v>
      </c>
    </row>
    <row r="130" spans="1:6" x14ac:dyDescent="0.3">
      <c r="A130" s="335"/>
      <c r="B130" s="336"/>
      <c r="C130" s="331"/>
      <c r="D130" s="332"/>
      <c r="E130" s="333"/>
      <c r="F130" s="240">
        <v>448</v>
      </c>
    </row>
    <row r="131" spans="1:6" x14ac:dyDescent="0.3">
      <c r="A131" s="335"/>
      <c r="B131" s="336"/>
      <c r="C131" s="331"/>
      <c r="D131" s="332"/>
      <c r="E131" s="333">
        <v>453</v>
      </c>
      <c r="F131" s="240">
        <v>453</v>
      </c>
    </row>
    <row r="132" spans="1:6" x14ac:dyDescent="0.3">
      <c r="A132" s="335"/>
      <c r="B132" s="336"/>
      <c r="C132" s="331"/>
      <c r="D132" s="332"/>
      <c r="E132" s="333"/>
      <c r="F132" s="240">
        <v>459</v>
      </c>
    </row>
    <row r="133" spans="1:6" x14ac:dyDescent="0.3">
      <c r="A133" s="335">
        <v>470</v>
      </c>
      <c r="B133" s="336">
        <v>470</v>
      </c>
      <c r="C133" s="331">
        <v>470</v>
      </c>
      <c r="D133" s="332">
        <v>464</v>
      </c>
      <c r="E133" s="333">
        <v>464</v>
      </c>
      <c r="F133" s="240">
        <v>464</v>
      </c>
    </row>
    <row r="134" spans="1:6" x14ac:dyDescent="0.3">
      <c r="A134" s="335"/>
      <c r="B134" s="336"/>
      <c r="C134" s="331"/>
      <c r="D134" s="332"/>
      <c r="E134" s="333"/>
      <c r="F134" s="240">
        <v>470</v>
      </c>
    </row>
    <row r="135" spans="1:6" x14ac:dyDescent="0.3">
      <c r="A135" s="335"/>
      <c r="B135" s="336"/>
      <c r="C135" s="331"/>
      <c r="D135" s="332"/>
      <c r="E135" s="333">
        <v>475</v>
      </c>
      <c r="F135" s="240">
        <v>475</v>
      </c>
    </row>
    <row r="136" spans="1:6" x14ac:dyDescent="0.3">
      <c r="A136" s="335"/>
      <c r="B136" s="336"/>
      <c r="C136" s="331"/>
      <c r="D136" s="332"/>
      <c r="E136" s="333"/>
      <c r="F136" s="240">
        <v>481</v>
      </c>
    </row>
    <row r="137" spans="1:6" x14ac:dyDescent="0.3">
      <c r="A137" s="335"/>
      <c r="B137" s="336"/>
      <c r="C137" s="331"/>
      <c r="D137" s="332">
        <v>487</v>
      </c>
      <c r="E137" s="333">
        <v>487</v>
      </c>
      <c r="F137" s="240">
        <v>487</v>
      </c>
    </row>
    <row r="138" spans="1:6" x14ac:dyDescent="0.3">
      <c r="A138" s="335"/>
      <c r="B138" s="336"/>
      <c r="C138" s="331"/>
      <c r="D138" s="332"/>
      <c r="E138" s="333"/>
      <c r="F138" s="240">
        <v>493</v>
      </c>
    </row>
    <row r="139" spans="1:6" x14ac:dyDescent="0.3">
      <c r="A139" s="335"/>
      <c r="B139" s="336"/>
      <c r="C139" s="331"/>
      <c r="D139" s="332"/>
      <c r="E139" s="333">
        <v>499</v>
      </c>
      <c r="F139" s="240">
        <v>499</v>
      </c>
    </row>
    <row r="140" spans="1:6" x14ac:dyDescent="0.3">
      <c r="A140" s="335"/>
      <c r="B140" s="336"/>
      <c r="C140" s="331"/>
      <c r="D140" s="332"/>
      <c r="E140" s="333"/>
      <c r="F140" s="240">
        <v>505</v>
      </c>
    </row>
    <row r="141" spans="1:6" x14ac:dyDescent="0.3">
      <c r="A141" s="335"/>
      <c r="B141" s="336"/>
      <c r="C141" s="331">
        <v>510</v>
      </c>
      <c r="D141" s="332">
        <v>511</v>
      </c>
      <c r="E141" s="333">
        <v>511</v>
      </c>
      <c r="F141" s="240">
        <v>511</v>
      </c>
    </row>
    <row r="142" spans="1:6" x14ac:dyDescent="0.3">
      <c r="A142" s="335"/>
      <c r="B142" s="336"/>
      <c r="C142" s="331"/>
      <c r="D142" s="332"/>
      <c r="E142" s="333"/>
      <c r="F142" s="240">
        <v>517</v>
      </c>
    </row>
    <row r="143" spans="1:6" x14ac:dyDescent="0.3">
      <c r="A143" s="335"/>
      <c r="B143" s="336"/>
      <c r="C143" s="331"/>
      <c r="D143" s="332"/>
      <c r="E143" s="333">
        <v>523</v>
      </c>
      <c r="F143" s="240">
        <v>523</v>
      </c>
    </row>
    <row r="144" spans="1:6" x14ac:dyDescent="0.3">
      <c r="A144" s="335"/>
      <c r="B144" s="336"/>
      <c r="C144" s="331"/>
      <c r="D144" s="332"/>
      <c r="E144" s="333"/>
      <c r="F144" s="240">
        <v>530</v>
      </c>
    </row>
    <row r="145" spans="1:6" x14ac:dyDescent="0.3">
      <c r="A145" s="335"/>
      <c r="B145" s="336"/>
      <c r="C145" s="331"/>
      <c r="D145" s="332">
        <v>536</v>
      </c>
      <c r="E145" s="333">
        <v>536</v>
      </c>
      <c r="F145" s="240">
        <v>536</v>
      </c>
    </row>
    <row r="146" spans="1:6" x14ac:dyDescent="0.3">
      <c r="A146" s="335"/>
      <c r="B146" s="336"/>
      <c r="C146" s="331"/>
      <c r="D146" s="332"/>
      <c r="E146" s="333"/>
      <c r="F146" s="240">
        <v>542</v>
      </c>
    </row>
    <row r="147" spans="1:6" x14ac:dyDescent="0.3">
      <c r="A147" s="335"/>
      <c r="B147" s="336"/>
      <c r="C147" s="331"/>
      <c r="D147" s="332"/>
      <c r="E147" s="333">
        <v>549</v>
      </c>
      <c r="F147" s="240">
        <v>549</v>
      </c>
    </row>
    <row r="148" spans="1:6" x14ac:dyDescent="0.3">
      <c r="A148" s="335"/>
      <c r="B148" s="336"/>
      <c r="C148" s="331"/>
      <c r="D148" s="332"/>
      <c r="E148" s="333"/>
      <c r="F148" s="240">
        <v>556</v>
      </c>
    </row>
    <row r="149" spans="1:6" x14ac:dyDescent="0.3">
      <c r="A149" s="335"/>
      <c r="B149" s="336">
        <v>560</v>
      </c>
      <c r="C149" s="331">
        <v>560</v>
      </c>
      <c r="D149" s="332">
        <v>562</v>
      </c>
      <c r="E149" s="333">
        <v>562</v>
      </c>
      <c r="F149" s="240">
        <v>562</v>
      </c>
    </row>
    <row r="150" spans="1:6" x14ac:dyDescent="0.3">
      <c r="A150" s="335"/>
      <c r="B150" s="336"/>
      <c r="C150" s="331"/>
      <c r="D150" s="332"/>
      <c r="E150" s="333"/>
      <c r="F150" s="240">
        <v>569</v>
      </c>
    </row>
    <row r="151" spans="1:6" x14ac:dyDescent="0.3">
      <c r="A151" s="335"/>
      <c r="B151" s="336"/>
      <c r="C151" s="331"/>
      <c r="D151" s="332"/>
      <c r="E151" s="333">
        <v>576</v>
      </c>
      <c r="F151" s="240">
        <v>576</v>
      </c>
    </row>
    <row r="152" spans="1:6" x14ac:dyDescent="0.3">
      <c r="A152" s="335"/>
      <c r="B152" s="336"/>
      <c r="C152" s="331"/>
      <c r="D152" s="332"/>
      <c r="E152" s="333"/>
      <c r="F152" s="240">
        <v>583</v>
      </c>
    </row>
    <row r="153" spans="1:6" x14ac:dyDescent="0.3">
      <c r="A153" s="335"/>
      <c r="B153" s="336"/>
      <c r="C153" s="331"/>
      <c r="D153" s="332">
        <v>590</v>
      </c>
      <c r="E153" s="333">
        <v>590</v>
      </c>
      <c r="F153" s="240">
        <v>590</v>
      </c>
    </row>
    <row r="154" spans="1:6" x14ac:dyDescent="0.3">
      <c r="A154" s="335"/>
      <c r="B154" s="336"/>
      <c r="C154" s="331"/>
      <c r="D154" s="332"/>
      <c r="E154" s="333"/>
      <c r="F154" s="240">
        <v>597</v>
      </c>
    </row>
    <row r="155" spans="1:6" x14ac:dyDescent="0.3">
      <c r="A155" s="335"/>
      <c r="B155" s="336"/>
      <c r="C155" s="331"/>
      <c r="D155" s="332"/>
      <c r="E155" s="333">
        <v>604</v>
      </c>
      <c r="F155" s="240">
        <v>604</v>
      </c>
    </row>
    <row r="156" spans="1:6" x14ac:dyDescent="0.3">
      <c r="A156" s="335"/>
      <c r="B156" s="336"/>
      <c r="C156" s="331"/>
      <c r="D156" s="332"/>
      <c r="E156" s="333"/>
      <c r="F156" s="240">
        <v>612</v>
      </c>
    </row>
    <row r="157" spans="1:6" x14ac:dyDescent="0.3">
      <c r="A157" s="335"/>
      <c r="B157" s="336"/>
      <c r="C157" s="331">
        <v>620</v>
      </c>
      <c r="D157" s="332">
        <v>619</v>
      </c>
      <c r="E157" s="333">
        <v>619</v>
      </c>
      <c r="F157" s="240">
        <v>619</v>
      </c>
    </row>
    <row r="158" spans="1:6" x14ac:dyDescent="0.3">
      <c r="A158" s="335"/>
      <c r="B158" s="336"/>
      <c r="C158" s="331"/>
      <c r="D158" s="332"/>
      <c r="E158" s="333"/>
      <c r="F158" s="240">
        <v>626</v>
      </c>
    </row>
    <row r="159" spans="1:6" x14ac:dyDescent="0.3">
      <c r="A159" s="335"/>
      <c r="B159" s="336"/>
      <c r="C159" s="331"/>
      <c r="D159" s="332"/>
      <c r="E159" s="333">
        <v>634</v>
      </c>
      <c r="F159" s="240">
        <v>634</v>
      </c>
    </row>
    <row r="160" spans="1:6" x14ac:dyDescent="0.3">
      <c r="A160" s="335"/>
      <c r="B160" s="336"/>
      <c r="C160" s="331"/>
      <c r="D160" s="332"/>
      <c r="E160" s="333"/>
      <c r="F160" s="240">
        <v>642</v>
      </c>
    </row>
    <row r="161" spans="1:6" x14ac:dyDescent="0.3">
      <c r="A161" s="335"/>
      <c r="B161" s="336"/>
      <c r="C161" s="331"/>
      <c r="D161" s="332">
        <v>649</v>
      </c>
      <c r="E161" s="333">
        <v>649</v>
      </c>
      <c r="F161" s="240">
        <v>649</v>
      </c>
    </row>
    <row r="162" spans="1:6" x14ac:dyDescent="0.3">
      <c r="A162" s="335"/>
      <c r="B162" s="336"/>
      <c r="C162" s="331"/>
      <c r="D162" s="332"/>
      <c r="E162" s="333"/>
      <c r="F162" s="240">
        <v>657</v>
      </c>
    </row>
    <row r="163" spans="1:6" x14ac:dyDescent="0.3">
      <c r="A163" s="335"/>
      <c r="B163" s="336"/>
      <c r="C163" s="331"/>
      <c r="D163" s="332"/>
      <c r="E163" s="333">
        <v>665</v>
      </c>
      <c r="F163" s="240">
        <v>665</v>
      </c>
    </row>
    <row r="164" spans="1:6" x14ac:dyDescent="0.3">
      <c r="A164" s="335"/>
      <c r="B164" s="336"/>
      <c r="C164" s="331"/>
      <c r="D164" s="332"/>
      <c r="E164" s="333"/>
      <c r="F164" s="240">
        <v>673</v>
      </c>
    </row>
    <row r="165" spans="1:6" x14ac:dyDescent="0.3">
      <c r="A165" s="335">
        <v>680</v>
      </c>
      <c r="B165" s="336">
        <v>680</v>
      </c>
      <c r="C165" s="331">
        <v>680</v>
      </c>
      <c r="D165" s="332">
        <v>681</v>
      </c>
      <c r="E165" s="333">
        <v>681</v>
      </c>
      <c r="F165" s="240">
        <v>681</v>
      </c>
    </row>
    <row r="166" spans="1:6" x14ac:dyDescent="0.3">
      <c r="A166" s="335"/>
      <c r="B166" s="336"/>
      <c r="C166" s="331"/>
      <c r="D166" s="332"/>
      <c r="E166" s="333"/>
      <c r="F166" s="240">
        <v>690</v>
      </c>
    </row>
    <row r="167" spans="1:6" x14ac:dyDescent="0.3">
      <c r="A167" s="335"/>
      <c r="B167" s="336"/>
      <c r="C167" s="331"/>
      <c r="D167" s="332"/>
      <c r="E167" s="333">
        <v>698</v>
      </c>
      <c r="F167" s="240">
        <v>698</v>
      </c>
    </row>
    <row r="168" spans="1:6" x14ac:dyDescent="0.3">
      <c r="A168" s="335"/>
      <c r="B168" s="336"/>
      <c r="C168" s="331"/>
      <c r="D168" s="332"/>
      <c r="E168" s="333"/>
      <c r="F168" s="240">
        <v>706</v>
      </c>
    </row>
    <row r="169" spans="1:6" x14ac:dyDescent="0.3">
      <c r="A169" s="335"/>
      <c r="B169" s="336"/>
      <c r="C169" s="331"/>
      <c r="D169" s="332">
        <v>715</v>
      </c>
      <c r="E169" s="333">
        <v>715</v>
      </c>
      <c r="F169" s="240">
        <v>715</v>
      </c>
    </row>
    <row r="170" spans="1:6" x14ac:dyDescent="0.3">
      <c r="A170" s="335"/>
      <c r="B170" s="336"/>
      <c r="C170" s="331"/>
      <c r="D170" s="332"/>
      <c r="E170" s="333"/>
      <c r="F170" s="240">
        <v>723</v>
      </c>
    </row>
    <row r="171" spans="1:6" x14ac:dyDescent="0.3">
      <c r="A171" s="335"/>
      <c r="B171" s="336"/>
      <c r="C171" s="331"/>
      <c r="D171" s="332"/>
      <c r="E171" s="333">
        <v>732</v>
      </c>
      <c r="F171" s="240">
        <v>732</v>
      </c>
    </row>
    <row r="172" spans="1:6" x14ac:dyDescent="0.3">
      <c r="A172" s="335"/>
      <c r="B172" s="336"/>
      <c r="C172" s="331"/>
      <c r="D172" s="332"/>
      <c r="E172" s="333"/>
      <c r="F172" s="240">
        <v>741</v>
      </c>
    </row>
    <row r="173" spans="1:6" x14ac:dyDescent="0.3">
      <c r="A173" s="335"/>
      <c r="B173" s="336"/>
      <c r="C173" s="331">
        <v>750</v>
      </c>
      <c r="D173" s="332">
        <v>750</v>
      </c>
      <c r="E173" s="333">
        <v>750</v>
      </c>
      <c r="F173" s="240">
        <v>750</v>
      </c>
    </row>
    <row r="174" spans="1:6" x14ac:dyDescent="0.3">
      <c r="A174" s="335"/>
      <c r="B174" s="336"/>
      <c r="C174" s="331"/>
      <c r="D174" s="332"/>
      <c r="E174" s="333"/>
      <c r="F174" s="240">
        <v>759</v>
      </c>
    </row>
    <row r="175" spans="1:6" x14ac:dyDescent="0.3">
      <c r="A175" s="335"/>
      <c r="B175" s="336"/>
      <c r="C175" s="331"/>
      <c r="D175" s="332"/>
      <c r="E175" s="333">
        <v>768</v>
      </c>
      <c r="F175" s="240">
        <v>768</v>
      </c>
    </row>
    <row r="176" spans="1:6" x14ac:dyDescent="0.3">
      <c r="A176" s="335"/>
      <c r="B176" s="336"/>
      <c r="C176" s="331"/>
      <c r="D176" s="332"/>
      <c r="E176" s="333"/>
      <c r="F176" s="240">
        <v>777</v>
      </c>
    </row>
    <row r="177" spans="1:6" x14ac:dyDescent="0.3">
      <c r="A177" s="335"/>
      <c r="B177" s="336"/>
      <c r="C177" s="331"/>
      <c r="D177" s="332">
        <v>787</v>
      </c>
      <c r="E177" s="333">
        <v>787</v>
      </c>
      <c r="F177" s="240">
        <v>787</v>
      </c>
    </row>
    <row r="178" spans="1:6" x14ac:dyDescent="0.3">
      <c r="A178" s="335"/>
      <c r="B178" s="336"/>
      <c r="C178" s="331"/>
      <c r="D178" s="332"/>
      <c r="E178" s="333"/>
      <c r="F178" s="240">
        <v>796</v>
      </c>
    </row>
    <row r="179" spans="1:6" x14ac:dyDescent="0.3">
      <c r="A179" s="335"/>
      <c r="B179" s="336"/>
      <c r="C179" s="331"/>
      <c r="D179" s="332"/>
      <c r="E179" s="333">
        <v>806</v>
      </c>
      <c r="F179" s="240">
        <v>806</v>
      </c>
    </row>
    <row r="180" spans="1:6" x14ac:dyDescent="0.3">
      <c r="A180" s="335"/>
      <c r="B180" s="336"/>
      <c r="C180" s="331"/>
      <c r="D180" s="332"/>
      <c r="E180" s="333"/>
      <c r="F180" s="240">
        <v>816</v>
      </c>
    </row>
    <row r="181" spans="1:6" x14ac:dyDescent="0.3">
      <c r="A181" s="335"/>
      <c r="B181" s="336">
        <v>820</v>
      </c>
      <c r="C181" s="331">
        <v>820</v>
      </c>
      <c r="D181" s="332">
        <v>825</v>
      </c>
      <c r="E181" s="333">
        <v>825</v>
      </c>
      <c r="F181" s="240">
        <v>825</v>
      </c>
    </row>
    <row r="182" spans="1:6" x14ac:dyDescent="0.3">
      <c r="A182" s="335"/>
      <c r="B182" s="336"/>
      <c r="C182" s="331"/>
      <c r="D182" s="332"/>
      <c r="E182" s="333"/>
      <c r="F182" s="240">
        <v>835</v>
      </c>
    </row>
    <row r="183" spans="1:6" x14ac:dyDescent="0.3">
      <c r="A183" s="335"/>
      <c r="B183" s="336"/>
      <c r="C183" s="331"/>
      <c r="D183" s="332"/>
      <c r="E183" s="333">
        <v>845</v>
      </c>
      <c r="F183" s="240">
        <v>845</v>
      </c>
    </row>
    <row r="184" spans="1:6" x14ac:dyDescent="0.3">
      <c r="A184" s="335"/>
      <c r="B184" s="336"/>
      <c r="C184" s="331"/>
      <c r="D184" s="332"/>
      <c r="E184" s="333"/>
      <c r="F184" s="240">
        <v>856</v>
      </c>
    </row>
    <row r="185" spans="1:6" x14ac:dyDescent="0.3">
      <c r="A185" s="335"/>
      <c r="B185" s="336"/>
      <c r="C185" s="331"/>
      <c r="D185" s="332">
        <v>866</v>
      </c>
      <c r="E185" s="333">
        <v>866</v>
      </c>
      <c r="F185" s="240">
        <v>866</v>
      </c>
    </row>
    <row r="186" spans="1:6" x14ac:dyDescent="0.3">
      <c r="A186" s="335"/>
      <c r="B186" s="336"/>
      <c r="C186" s="331"/>
      <c r="D186" s="332"/>
      <c r="E186" s="333"/>
      <c r="F186" s="240">
        <v>876</v>
      </c>
    </row>
    <row r="187" spans="1:6" x14ac:dyDescent="0.3">
      <c r="A187" s="335"/>
      <c r="B187" s="336"/>
      <c r="C187" s="331"/>
      <c r="D187" s="332"/>
      <c r="E187" s="333">
        <v>887</v>
      </c>
      <c r="F187" s="240">
        <v>887</v>
      </c>
    </row>
    <row r="188" spans="1:6" x14ac:dyDescent="0.3">
      <c r="A188" s="335"/>
      <c r="B188" s="336"/>
      <c r="C188" s="331"/>
      <c r="D188" s="332"/>
      <c r="E188" s="333"/>
      <c r="F188" s="240">
        <v>898</v>
      </c>
    </row>
    <row r="189" spans="1:6" x14ac:dyDescent="0.3">
      <c r="A189" s="335"/>
      <c r="B189" s="336"/>
      <c r="C189" s="331">
        <v>910</v>
      </c>
      <c r="D189" s="332">
        <v>909</v>
      </c>
      <c r="E189" s="333">
        <v>909</v>
      </c>
      <c r="F189" s="240">
        <v>909</v>
      </c>
    </row>
    <row r="190" spans="1:6" x14ac:dyDescent="0.3">
      <c r="A190" s="335"/>
      <c r="B190" s="336"/>
      <c r="C190" s="331"/>
      <c r="D190" s="332"/>
      <c r="E190" s="333"/>
      <c r="F190" s="240">
        <v>920</v>
      </c>
    </row>
    <row r="191" spans="1:6" x14ac:dyDescent="0.3">
      <c r="A191" s="335"/>
      <c r="B191" s="336"/>
      <c r="C191" s="331"/>
      <c r="D191" s="332"/>
      <c r="E191" s="333">
        <v>931</v>
      </c>
      <c r="F191" s="240">
        <v>931</v>
      </c>
    </row>
    <row r="192" spans="1:6" x14ac:dyDescent="0.3">
      <c r="A192" s="335"/>
      <c r="B192" s="336"/>
      <c r="C192" s="331"/>
      <c r="D192" s="332"/>
      <c r="E192" s="333"/>
      <c r="F192" s="240">
        <v>942</v>
      </c>
    </row>
    <row r="193" spans="1:7" x14ac:dyDescent="0.3">
      <c r="A193" s="335"/>
      <c r="B193" s="336"/>
      <c r="C193" s="331"/>
      <c r="D193" s="332">
        <v>953</v>
      </c>
      <c r="E193" s="333">
        <v>953</v>
      </c>
      <c r="F193" s="240">
        <v>953</v>
      </c>
    </row>
    <row r="194" spans="1:7" x14ac:dyDescent="0.3">
      <c r="A194" s="335"/>
      <c r="B194" s="336"/>
      <c r="C194" s="331"/>
      <c r="D194" s="332"/>
      <c r="E194" s="333"/>
      <c r="F194" s="240">
        <v>965</v>
      </c>
    </row>
    <row r="195" spans="1:7" x14ac:dyDescent="0.3">
      <c r="A195" s="335"/>
      <c r="B195" s="336"/>
      <c r="C195" s="331"/>
      <c r="D195" s="332"/>
      <c r="E195" s="333">
        <v>976</v>
      </c>
      <c r="F195" s="240">
        <v>976</v>
      </c>
    </row>
    <row r="196" spans="1:7" x14ac:dyDescent="0.3">
      <c r="A196" s="335"/>
      <c r="B196" s="336"/>
      <c r="C196" s="331"/>
      <c r="D196" s="332"/>
      <c r="E196" s="333"/>
      <c r="F196" s="240">
        <v>988</v>
      </c>
    </row>
    <row r="197" spans="1:7" x14ac:dyDescent="0.3">
      <c r="A197" s="242">
        <v>1000</v>
      </c>
      <c r="B197" s="243">
        <v>1000</v>
      </c>
      <c r="C197" s="244">
        <v>1000</v>
      </c>
      <c r="D197" s="245">
        <v>1000</v>
      </c>
      <c r="E197" s="246">
        <v>1000</v>
      </c>
      <c r="F197" s="247">
        <v>1000</v>
      </c>
      <c r="G197" s="248" t="s">
        <v>427</v>
      </c>
    </row>
  </sheetData>
  <sheetProtection sheet="1" objects="1" scenarios="1"/>
  <mergeCells count="187">
    <mergeCell ref="E177:E178"/>
    <mergeCell ref="D189:D192"/>
    <mergeCell ref="E189:E190"/>
    <mergeCell ref="E191:E192"/>
    <mergeCell ref="D193:D196"/>
    <mergeCell ref="E193:E194"/>
    <mergeCell ref="E195:E196"/>
    <mergeCell ref="E179:E180"/>
    <mergeCell ref="B181:B196"/>
    <mergeCell ref="C181:C188"/>
    <mergeCell ref="D181:D184"/>
    <mergeCell ref="E181:E182"/>
    <mergeCell ref="E183:E184"/>
    <mergeCell ref="D185:D188"/>
    <mergeCell ref="E185:E186"/>
    <mergeCell ref="E187:E188"/>
    <mergeCell ref="C189:C196"/>
    <mergeCell ref="A165:A196"/>
    <mergeCell ref="B165:B180"/>
    <mergeCell ref="C165:C172"/>
    <mergeCell ref="D165:D168"/>
    <mergeCell ref="E165:E166"/>
    <mergeCell ref="B149:B164"/>
    <mergeCell ref="C149:C156"/>
    <mergeCell ref="D149:D152"/>
    <mergeCell ref="E149:E150"/>
    <mergeCell ref="E151:E152"/>
    <mergeCell ref="D153:D156"/>
    <mergeCell ref="E153:E154"/>
    <mergeCell ref="E155:E156"/>
    <mergeCell ref="C157:C164"/>
    <mergeCell ref="D157:D160"/>
    <mergeCell ref="E167:E168"/>
    <mergeCell ref="D169:D172"/>
    <mergeCell ref="E169:E170"/>
    <mergeCell ref="E171:E172"/>
    <mergeCell ref="C173:C180"/>
    <mergeCell ref="D173:D176"/>
    <mergeCell ref="E173:E174"/>
    <mergeCell ref="E175:E176"/>
    <mergeCell ref="D177:D180"/>
    <mergeCell ref="D141:D144"/>
    <mergeCell ref="E141:E142"/>
    <mergeCell ref="E143:E144"/>
    <mergeCell ref="D145:D148"/>
    <mergeCell ref="E145:E146"/>
    <mergeCell ref="E147:E148"/>
    <mergeCell ref="A133:A164"/>
    <mergeCell ref="B133:B148"/>
    <mergeCell ref="C133:C140"/>
    <mergeCell ref="D133:D136"/>
    <mergeCell ref="E133:E134"/>
    <mergeCell ref="E135:E136"/>
    <mergeCell ref="D137:D140"/>
    <mergeCell ref="E137:E138"/>
    <mergeCell ref="E139:E140"/>
    <mergeCell ref="C141:C148"/>
    <mergeCell ref="E157:E158"/>
    <mergeCell ref="E159:E160"/>
    <mergeCell ref="D161:D164"/>
    <mergeCell ref="E161:E162"/>
    <mergeCell ref="E163:E164"/>
    <mergeCell ref="E113:E114"/>
    <mergeCell ref="D125:D128"/>
    <mergeCell ref="E125:E126"/>
    <mergeCell ref="E127:E128"/>
    <mergeCell ref="D129:D132"/>
    <mergeCell ref="E129:E130"/>
    <mergeCell ref="E131:E132"/>
    <mergeCell ref="E115:E116"/>
    <mergeCell ref="B117:B132"/>
    <mergeCell ref="C117:C124"/>
    <mergeCell ref="D117:D120"/>
    <mergeCell ref="E117:E118"/>
    <mergeCell ref="E119:E120"/>
    <mergeCell ref="D121:D124"/>
    <mergeCell ref="E121:E122"/>
    <mergeCell ref="E123:E124"/>
    <mergeCell ref="C125:C132"/>
    <mergeCell ref="A101:A132"/>
    <mergeCell ref="B101:B116"/>
    <mergeCell ref="C101:C108"/>
    <mergeCell ref="D101:D104"/>
    <mergeCell ref="E101:E102"/>
    <mergeCell ref="B85:B100"/>
    <mergeCell ref="C85:C92"/>
    <mergeCell ref="D85:D88"/>
    <mergeCell ref="E85:E86"/>
    <mergeCell ref="E87:E88"/>
    <mergeCell ref="D89:D92"/>
    <mergeCell ref="E89:E90"/>
    <mergeCell ref="E91:E92"/>
    <mergeCell ref="C93:C100"/>
    <mergeCell ref="D93:D96"/>
    <mergeCell ref="E103:E104"/>
    <mergeCell ref="D105:D108"/>
    <mergeCell ref="E105:E106"/>
    <mergeCell ref="E107:E108"/>
    <mergeCell ref="C109:C116"/>
    <mergeCell ref="D109:D112"/>
    <mergeCell ref="E109:E110"/>
    <mergeCell ref="E111:E112"/>
    <mergeCell ref="D113:D116"/>
    <mergeCell ref="D77:D80"/>
    <mergeCell ref="E77:E78"/>
    <mergeCell ref="E79:E80"/>
    <mergeCell ref="D81:D84"/>
    <mergeCell ref="E81:E82"/>
    <mergeCell ref="E83:E84"/>
    <mergeCell ref="A69:A100"/>
    <mergeCell ref="B69:B84"/>
    <mergeCell ref="C69:C76"/>
    <mergeCell ref="D69:D72"/>
    <mergeCell ref="E69:E70"/>
    <mergeCell ref="E71:E72"/>
    <mergeCell ref="D73:D76"/>
    <mergeCell ref="E73:E74"/>
    <mergeCell ref="E75:E76"/>
    <mergeCell ref="C77:C84"/>
    <mergeCell ref="E93:E94"/>
    <mergeCell ref="E95:E96"/>
    <mergeCell ref="D97:D100"/>
    <mergeCell ref="E97:E98"/>
    <mergeCell ref="E99:E100"/>
    <mergeCell ref="E49:E50"/>
    <mergeCell ref="D61:D64"/>
    <mergeCell ref="E61:E62"/>
    <mergeCell ref="E63:E64"/>
    <mergeCell ref="D65:D68"/>
    <mergeCell ref="E65:E66"/>
    <mergeCell ref="E67:E68"/>
    <mergeCell ref="E51:E52"/>
    <mergeCell ref="B53:B68"/>
    <mergeCell ref="C53:C60"/>
    <mergeCell ref="D53:D56"/>
    <mergeCell ref="E53:E54"/>
    <mergeCell ref="E55:E56"/>
    <mergeCell ref="D57:D60"/>
    <mergeCell ref="E57:E58"/>
    <mergeCell ref="E59:E60"/>
    <mergeCell ref="C61:C68"/>
    <mergeCell ref="A37:A68"/>
    <mergeCell ref="B37:B52"/>
    <mergeCell ref="C37:C44"/>
    <mergeCell ref="D37:D40"/>
    <mergeCell ref="E37:E38"/>
    <mergeCell ref="B21:B36"/>
    <mergeCell ref="C21:C28"/>
    <mergeCell ref="D21:D24"/>
    <mergeCell ref="E21:E22"/>
    <mergeCell ref="E23:E24"/>
    <mergeCell ref="D25:D28"/>
    <mergeCell ref="E25:E26"/>
    <mergeCell ref="E27:E28"/>
    <mergeCell ref="C29:C36"/>
    <mergeCell ref="D29:D32"/>
    <mergeCell ref="E39:E40"/>
    <mergeCell ref="D41:D44"/>
    <mergeCell ref="E41:E42"/>
    <mergeCell ref="E43:E44"/>
    <mergeCell ref="C45:C52"/>
    <mergeCell ref="D45:D48"/>
    <mergeCell ref="E45:E46"/>
    <mergeCell ref="E47:E48"/>
    <mergeCell ref="D49:D52"/>
    <mergeCell ref="C13:C20"/>
    <mergeCell ref="D13:D16"/>
    <mergeCell ref="E13:E14"/>
    <mergeCell ref="E15:E16"/>
    <mergeCell ref="D17:D20"/>
    <mergeCell ref="E17:E18"/>
    <mergeCell ref="E19:E20"/>
    <mergeCell ref="A1:F1"/>
    <mergeCell ref="A5:A36"/>
    <mergeCell ref="B5:B20"/>
    <mergeCell ref="C5:C12"/>
    <mergeCell ref="D5:D8"/>
    <mergeCell ref="E5:E6"/>
    <mergeCell ref="E7:E8"/>
    <mergeCell ref="D9:D12"/>
    <mergeCell ref="E9:E10"/>
    <mergeCell ref="E11:E12"/>
    <mergeCell ref="E29:E30"/>
    <mergeCell ref="E31:E32"/>
    <mergeCell ref="D33:D36"/>
    <mergeCell ref="E33:E34"/>
    <mergeCell ref="E35:E3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E7213C-EB81-44CF-9757-6BC109954BCA}">
  <ds:schemaRefs>
    <ds:schemaRef ds:uri="http://schemas.openxmlformats.org/package/2006/metadata/core-properties"/>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B96B0A9-E706-44C7-A8F1-19DE24283961}">
  <ds:schemaRefs>
    <ds:schemaRef ds:uri="http://schemas.microsoft.com/sharepoint/v3/contenttype/forms"/>
  </ds:schemaRefs>
</ds:datastoreItem>
</file>

<file path=customXml/itemProps3.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33</vt:i4>
      </vt:variant>
    </vt:vector>
  </HeadingPairs>
  <TitlesOfParts>
    <vt:vector size="42" baseType="lpstr">
      <vt:lpstr>Instructions</vt:lpstr>
      <vt:lpstr>Design Calculator</vt:lpstr>
      <vt:lpstr>Device Parmaters</vt:lpstr>
      <vt:lpstr>Equations</vt:lpstr>
      <vt:lpstr>Start_up</vt:lpstr>
      <vt:lpstr>SOA</vt:lpstr>
      <vt:lpstr>dv_dt_recommendations</vt:lpstr>
      <vt:lpstr>Cap Tables</vt:lpstr>
      <vt:lpstr>Res EIA Tables</vt:lpstr>
      <vt:lpstr>CLMAX</vt:lpstr>
      <vt:lpstr>CLMAX_Threshold</vt:lpstr>
      <vt:lpstr>CLMIN</vt:lpstr>
      <vt:lpstr>CLMIN_Threshold</vt:lpstr>
      <vt:lpstr>CLNOM</vt:lpstr>
      <vt:lpstr>CLNOM_Threshold</vt:lpstr>
      <vt:lpstr>COUTMAX</vt:lpstr>
      <vt:lpstr>FETPDISS</vt:lpstr>
      <vt:lpstr>I_Cout_ss</vt:lpstr>
      <vt:lpstr>Inrush_Current</vt:lpstr>
      <vt:lpstr>IOUTMAX</vt:lpstr>
      <vt:lpstr>NUMFETS</vt:lpstr>
      <vt:lpstr>'Design Calculator'!Print_Area</vt:lpstr>
      <vt:lpstr>RDSON</vt:lpstr>
      <vt:lpstr>RIMON</vt:lpstr>
      <vt:lpstr>RLIM</vt:lpstr>
      <vt:lpstr>RPWR</vt:lpstr>
      <vt:lpstr>Rs</vt:lpstr>
      <vt:lpstr>RsEFF</vt:lpstr>
      <vt:lpstr>RSNS</vt:lpstr>
      <vt:lpstr>ss_rate</vt:lpstr>
      <vt:lpstr>TAMB</vt:lpstr>
      <vt:lpstr>ThetaJA</vt:lpstr>
      <vt:lpstr>TINSERTMAX</vt:lpstr>
      <vt:lpstr>TINSERTMIN</vt:lpstr>
      <vt:lpstr>TJ</vt:lpstr>
      <vt:lpstr>TJMAX</vt:lpstr>
      <vt:lpstr>TSTARTMAX</vt:lpstr>
      <vt:lpstr>TSTARTMIN</vt:lpstr>
      <vt:lpstr>TSTARTNOM</vt:lpstr>
      <vt:lpstr>VINMAX</vt:lpstr>
      <vt:lpstr>VINMIN</vt:lpstr>
      <vt:lpstr>VINNOM</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LM749X0 ID Design Calculator</dc:title>
  <dc:creator>praveen@ti.com</dc:creator>
  <cp:lastModifiedBy>GD, Praveen</cp:lastModifiedBy>
  <cp:lastPrinted>2013-08-26T22:42:43Z</cp:lastPrinted>
  <dcterms:created xsi:type="dcterms:W3CDTF">2009-04-21T16:00:33Z</dcterms:created>
  <dcterms:modified xsi:type="dcterms:W3CDTF">2023-06-15T13:17:54Z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